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tabRatio="781" activeTab="0"/>
  </bookViews>
  <sheets>
    <sheet name="Изделия из жести" sheetId="1" r:id="rId1"/>
    <sheet name="ВентиляцияПрямоугольное сечение" sheetId="2" r:id="rId2"/>
    <sheet name="ВентиляцияКруглое сечение" sheetId="3" r:id="rId3"/>
    <sheet name="Водосточная система" sheetId="4" r:id="rId4"/>
    <sheet name="Виды изделий" sheetId="5" r:id="rId5"/>
  </sheets>
  <definedNames/>
  <calcPr fullCalcOnLoad="1"/>
</workbook>
</file>

<file path=xl/sharedStrings.xml><?xml version="1.0" encoding="utf-8"?>
<sst xmlns="http://schemas.openxmlformats.org/spreadsheetml/2006/main" count="139" uniqueCount="71">
  <si>
    <t>Наименование</t>
  </si>
  <si>
    <t>Толщина, мм</t>
  </si>
  <si>
    <t xml:space="preserve">Фасонные детали </t>
  </si>
  <si>
    <t xml:space="preserve">Нестандартные детали </t>
  </si>
  <si>
    <t xml:space="preserve">Прямые участки нестандартной длины </t>
  </si>
  <si>
    <t>Стоимость, руб. м2 Розница</t>
  </si>
  <si>
    <t xml:space="preserve">Прямой участок (1,25 м; 2,5м) </t>
  </si>
  <si>
    <r>
      <t xml:space="preserve">B,мм </t>
    </r>
    <r>
      <rPr>
        <b/>
        <sz val="9"/>
        <color indexed="10"/>
        <rFont val="Franklin Gothic Book"/>
        <family val="2"/>
      </rPr>
      <t>Н,мм</t>
    </r>
  </si>
  <si>
    <r>
      <t xml:space="preserve"> Радиус поворота отвода - 0. Шейка </t>
    </r>
    <r>
      <rPr>
        <b/>
        <sz val="9"/>
        <color indexed="10"/>
        <rFont val="Franklin Gothic Book"/>
        <family val="2"/>
      </rPr>
      <t>А</t>
    </r>
    <r>
      <rPr>
        <b/>
        <sz val="9"/>
        <color indexed="8"/>
        <rFont val="Franklin Gothic Book"/>
        <family val="2"/>
      </rPr>
      <t xml:space="preserve"> – 50мм. 
Обозначение: сначала указывается поворачивающая сторона </t>
    </r>
    <r>
      <rPr>
        <b/>
        <sz val="9"/>
        <color indexed="10"/>
        <rFont val="Franklin Gothic Book"/>
        <family val="2"/>
      </rPr>
      <t>В</t>
    </r>
    <r>
      <rPr>
        <b/>
        <sz val="9"/>
        <color indexed="8"/>
        <rFont val="Franklin Gothic Book"/>
        <family val="2"/>
      </rPr>
      <t xml:space="preserve"> отвода, а потом прямая- </t>
    </r>
    <r>
      <rPr>
        <b/>
        <sz val="9"/>
        <color indexed="10"/>
        <rFont val="Franklin Gothic Book"/>
        <family val="2"/>
      </rPr>
      <t xml:space="preserve">H.
</t>
    </r>
    <r>
      <rPr>
        <b/>
        <sz val="9"/>
        <color indexed="8"/>
        <rFont val="Franklin Gothic Book"/>
        <family val="2"/>
      </rPr>
      <t xml:space="preserve"> Пример обозначения : Отвод 400*100</t>
    </r>
  </si>
  <si>
    <r>
      <t xml:space="preserve"> Радиус поворота отвода равен 0.Шейка </t>
    </r>
    <r>
      <rPr>
        <b/>
        <sz val="9"/>
        <color indexed="10"/>
        <rFont val="Franklin Gothic Book"/>
        <family val="2"/>
      </rPr>
      <t>А</t>
    </r>
    <r>
      <rPr>
        <b/>
        <sz val="9"/>
        <color indexed="8"/>
        <rFont val="Franklin Gothic Book"/>
        <family val="2"/>
      </rPr>
      <t xml:space="preserve"> – 50мм. Другие конфигурации возможны: поворот и удлинение. Маркировка: сначала пишется поворачивающая сторона </t>
    </r>
    <r>
      <rPr>
        <b/>
        <sz val="9"/>
        <color indexed="10"/>
        <rFont val="Franklin Gothic Book"/>
        <family val="2"/>
      </rPr>
      <t xml:space="preserve">В </t>
    </r>
    <r>
      <rPr>
        <b/>
        <sz val="9"/>
        <color indexed="8"/>
        <rFont val="Franklin Gothic Book"/>
        <family val="2"/>
      </rPr>
      <t xml:space="preserve">отвода, а потом прямая- </t>
    </r>
    <r>
      <rPr>
        <b/>
        <sz val="9"/>
        <color indexed="10"/>
        <rFont val="Franklin Gothic Book"/>
        <family val="2"/>
      </rPr>
      <t>H.</t>
    </r>
    <r>
      <rPr>
        <b/>
        <sz val="9"/>
        <color indexed="8"/>
        <rFont val="Franklin Gothic Book"/>
        <family val="2"/>
      </rPr>
      <t xml:space="preserve">
 Пример обозначения : Полуотвод 400*100</t>
    </r>
  </si>
  <si>
    <t xml:space="preserve">Прямой участок (1,25 м; </t>
  </si>
  <si>
    <r>
      <t>Прямые участки нестандартной длины 
(</t>
    </r>
    <r>
      <rPr>
        <b/>
        <sz val="9"/>
        <rFont val="Calibri"/>
        <family val="2"/>
      </rPr>
      <t>&lt;</t>
    </r>
    <r>
      <rPr>
        <b/>
        <sz val="9"/>
        <rFont val="Franklin Gothic Book"/>
        <family val="2"/>
      </rPr>
      <t xml:space="preserve"> 1,25м)</t>
    </r>
  </si>
  <si>
    <t xml:space="preserve">Прайс-лист на воздуховоды и фасонные части прямоугольного сечения на "шине" с пуклевочным соединением </t>
  </si>
  <si>
    <t xml:space="preserve">Прайс-лист на воздуховоды прямошовные и фасонные детали круглого сечения </t>
  </si>
  <si>
    <t>Диаметр (D), мм</t>
  </si>
  <si>
    <t>Шейка А, мм</t>
  </si>
  <si>
    <t>Площадь S, м2</t>
  </si>
  <si>
    <r>
      <t xml:space="preserve">Фасонные детали.
</t>
    </r>
    <r>
      <rPr>
        <sz val="36"/>
        <color indexed="13"/>
        <rFont val="Franklin Gothic Book"/>
        <family val="2"/>
      </rPr>
      <t>Отвод  45°</t>
    </r>
  </si>
  <si>
    <r>
      <t xml:space="preserve">Фасонные детали.
</t>
    </r>
    <r>
      <rPr>
        <sz val="36"/>
        <color indexed="13"/>
        <rFont val="Franklin Gothic Book"/>
        <family val="2"/>
      </rPr>
      <t>Отвод  90°</t>
    </r>
  </si>
  <si>
    <r>
      <t>Соединение нипельное "в засов". На конце одного из стаканов прокатывается конуска. При фланцевом соединении – номинальный диаметр. Отвод состоит из 4-х частей: 2-х стаканов и 2- сегментов. Стаканы на расстоянии А мм (35 мм) от  края прозигованы.
Обозначение: Отвод 90°</t>
    </r>
    <r>
      <rPr>
        <b/>
        <sz val="11"/>
        <color indexed="8"/>
        <rFont val="Franklin Gothic Book"/>
        <family val="2"/>
      </rPr>
      <t xml:space="preserve"> ø</t>
    </r>
    <r>
      <rPr>
        <b/>
        <sz val="9"/>
        <color indexed="8"/>
        <rFont val="Franklin Gothic Book"/>
        <family val="2"/>
      </rPr>
      <t xml:space="preserve">125мм
Радиус поворота в отводе равен его диаметру R = D. По требованиям заказчика возможны другие конфигурации.
</t>
    </r>
  </si>
  <si>
    <r>
      <t>Соединение нипельное "в засов". На конце одного из стаканов прокатывается конуска. При фланцевом соединении – номинальный диаметр. Отвод состоит из 3-х частей: 2-х стаканов и 1- сегмента. Стаканы на расстоянии А мм (35 мм) от  края прозигованы.
Обозначение: Полутвод 45°</t>
    </r>
    <r>
      <rPr>
        <b/>
        <sz val="11"/>
        <color indexed="8"/>
        <rFont val="Franklin Gothic Book"/>
        <family val="2"/>
      </rPr>
      <t xml:space="preserve"> ø</t>
    </r>
    <r>
      <rPr>
        <b/>
        <sz val="9"/>
        <color indexed="8"/>
        <rFont val="Franklin Gothic Book"/>
        <family val="2"/>
      </rPr>
      <t xml:space="preserve">125мм
Радиус поворота в отводе равен его диаметру R = D. По требованиям заказчика возможны другие конфигурации.
</t>
    </r>
  </si>
  <si>
    <t>К фасонным частям также относятся:
 переходы, тройники, прямые врезки</t>
  </si>
  <si>
    <t>Наименование 
изделия</t>
  </si>
  <si>
    <t>Изображение</t>
  </si>
  <si>
    <t>Труба круглая 
 L=1,25 м (зиг+конуска)</t>
  </si>
  <si>
    <t xml:space="preserve">Шиберная заслонка 
круглая </t>
  </si>
  <si>
    <t>Колено круглое 
(30, 45 или 60 градусов) зиг+конуска</t>
  </si>
  <si>
    <t>Отвод круглый 
90 градусов 3 сегмента (зиг+конуска)</t>
  </si>
  <si>
    <t xml:space="preserve">Тройник круглый 
</t>
  </si>
  <si>
    <t xml:space="preserve">Зонт круглый
</t>
  </si>
  <si>
    <t>Оцинковка</t>
  </si>
  <si>
    <t>Цветное</t>
  </si>
  <si>
    <t>Желоб водосточный + упоры</t>
  </si>
  <si>
    <t>пог\м</t>
  </si>
  <si>
    <t>300  руб.</t>
  </si>
  <si>
    <r>
      <t>Угол желоба 90</t>
    </r>
    <r>
      <rPr>
        <b/>
        <vertAlign val="superscript"/>
        <sz val="16"/>
        <color indexed="63"/>
        <rFont val="Franklin Gothic Book"/>
        <family val="2"/>
      </rPr>
      <t xml:space="preserve">0 </t>
    </r>
  </si>
  <si>
    <t>шт</t>
  </si>
  <si>
    <r>
      <t>Угол желоба 135</t>
    </r>
    <r>
      <rPr>
        <b/>
        <vertAlign val="superscript"/>
        <sz val="16"/>
        <color indexed="63"/>
        <rFont val="Franklin Gothic Book"/>
        <family val="2"/>
      </rPr>
      <t>0</t>
    </r>
  </si>
  <si>
    <t>Воронка  диаметр-100-120 мм</t>
  </si>
  <si>
    <t>Колено диаметром -100-120 мм</t>
  </si>
  <si>
    <t>250  руб.</t>
  </si>
  <si>
    <t>Добавка трубы водосточной 0,5м</t>
  </si>
  <si>
    <t>Труба водосточная диаметр -100-120мм, длина 1,25м</t>
  </si>
  <si>
    <t>Отмет диаметром 100-120 мм</t>
  </si>
  <si>
    <t>Хомут (комплект)</t>
  </si>
  <si>
    <t>Ед. измерения.</t>
  </si>
  <si>
    <t>300 руб.</t>
  </si>
  <si>
    <t>400  руб.</t>
  </si>
  <si>
    <t>Каталог RAL</t>
  </si>
  <si>
    <t>Цвета водосточной системы:</t>
  </si>
  <si>
    <t> RAL 1014 "Слоновая  кость"</t>
  </si>
  <si>
    <t> RAL 1015 "Светлая слоновая кость" </t>
  </si>
  <si>
    <t> RAL 1018 "Желтый"</t>
  </si>
  <si>
    <t> RAL 2004 "Мандарин"</t>
  </si>
  <si>
    <t> RAL 3005 "Красное вино"</t>
  </si>
  <si>
    <t> RAL 5002 "Ультрамарин"</t>
  </si>
  <si>
    <t> RAL 5005 "Сигнально-синий"</t>
  </si>
  <si>
    <t> RAL 8017 "Шоколад"</t>
  </si>
  <si>
    <t> RAL 6005 "Зеленый мох"</t>
  </si>
  <si>
    <t> RAL 9003 "Белый"</t>
  </si>
  <si>
    <t> RAL 7004 "Серый"</t>
  </si>
  <si>
    <t xml:space="preserve">
Наша организация также изготавливает желоба водосточных систем различных видов, прямоугольные, полукруглые по спецификациям и чертежам Заказчиков.На вкладке нашего сайта "Портфолио" вы можете увидеть примеры наших водосточных систем.</t>
  </si>
  <si>
    <t>350  руб.</t>
  </si>
  <si>
    <t>350 руб.</t>
  </si>
  <si>
    <t>450 руб.</t>
  </si>
  <si>
    <t>550  руб.</t>
  </si>
  <si>
    <t>100  руб.</t>
  </si>
  <si>
    <t>100   руб.</t>
  </si>
  <si>
    <r>
      <rPr>
        <b/>
        <u val="single"/>
        <sz val="14"/>
        <color indexed="8"/>
        <rFont val="Franklin Gothic Book"/>
        <family val="2"/>
      </rPr>
      <t xml:space="preserve">Изготовление профилей: </t>
    </r>
    <r>
      <rPr>
        <b/>
        <sz val="14"/>
        <color indexed="8"/>
        <rFont val="Franklin Gothic Book"/>
        <family val="2"/>
      </rPr>
      <t xml:space="preserve">
Стоимость изготовления профилей из оцинкованного металла (</t>
    </r>
    <r>
      <rPr>
        <b/>
        <sz val="14"/>
        <color indexed="30"/>
        <rFont val="Franklin Gothic Book"/>
        <family val="2"/>
      </rPr>
      <t>толщина 0,45мм - 1 мм</t>
    </r>
    <r>
      <rPr>
        <b/>
        <sz val="14"/>
        <color indexed="8"/>
        <rFont val="Franklin Gothic Book"/>
        <family val="2"/>
      </rPr>
      <t xml:space="preserve">) - </t>
    </r>
    <r>
      <rPr>
        <b/>
        <sz val="14"/>
        <color indexed="10"/>
        <rFont val="Franklin Gothic Book"/>
        <family val="2"/>
      </rPr>
      <t xml:space="preserve">от </t>
    </r>
    <r>
      <rPr>
        <b/>
        <sz val="24"/>
        <color indexed="10"/>
        <rFont val="Franklin Gothic Book"/>
        <family val="2"/>
      </rPr>
      <t>400</t>
    </r>
    <r>
      <rPr>
        <b/>
        <sz val="14"/>
        <color indexed="36"/>
        <rFont val="Franklin Gothic Book"/>
        <family val="2"/>
      </rPr>
      <t xml:space="preserve"> руб./м2,</t>
    </r>
    <r>
      <rPr>
        <b/>
        <sz val="14"/>
        <color indexed="8"/>
        <rFont val="Franklin Gothic Book"/>
        <family val="2"/>
      </rPr>
      <t xml:space="preserve">
Стоимость профиля из окрашенного (полимерного покрытия) оцинкованного металла
 (</t>
    </r>
    <r>
      <rPr>
        <b/>
        <sz val="14"/>
        <color indexed="30"/>
        <rFont val="Franklin Gothic Book"/>
        <family val="2"/>
      </rPr>
      <t>толщина 0,4 мм- 0,5 мм</t>
    </r>
    <r>
      <rPr>
        <b/>
        <sz val="14"/>
        <color indexed="8"/>
        <rFont val="Franklin Gothic Book"/>
        <family val="2"/>
      </rPr>
      <t>)  -</t>
    </r>
    <r>
      <rPr>
        <b/>
        <sz val="14"/>
        <color indexed="10"/>
        <rFont val="Franklin Gothic Book"/>
        <family val="2"/>
      </rPr>
      <t xml:space="preserve"> от </t>
    </r>
    <r>
      <rPr>
        <b/>
        <sz val="24"/>
        <color indexed="10"/>
        <rFont val="Franklin Gothic Book"/>
        <family val="2"/>
      </rPr>
      <t>450</t>
    </r>
    <r>
      <rPr>
        <b/>
        <sz val="14"/>
        <color indexed="8"/>
        <rFont val="Franklin Gothic Book"/>
        <family val="2"/>
      </rPr>
      <t xml:space="preserve"> </t>
    </r>
    <r>
      <rPr>
        <b/>
        <sz val="14"/>
        <color indexed="36"/>
        <rFont val="Franklin Gothic Book"/>
        <family val="2"/>
      </rPr>
      <t>руб./м2</t>
    </r>
    <r>
      <rPr>
        <b/>
        <sz val="14"/>
        <color indexed="8"/>
        <rFont val="Franklin Gothic Book"/>
        <family val="2"/>
      </rPr>
      <t xml:space="preserve">
</t>
    </r>
    <r>
      <rPr>
        <b/>
        <u val="single"/>
        <sz val="14"/>
        <color indexed="8"/>
        <rFont val="Franklin Gothic Book"/>
        <family val="2"/>
      </rPr>
      <t>Работа с материалом заказчика: цена договорная</t>
    </r>
  </si>
  <si>
    <t>Палитра цветов определяется
 каталогом цветов  RAL http://vinzh.ru/katalog.html</t>
  </si>
  <si>
    <t>www.vinzh.ru/katalog.html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</si>
</sst>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Franklin Gothic Book"/>
      <family val="2"/>
    </font>
    <font>
      <b/>
      <sz val="9"/>
      <color indexed="8"/>
      <name val="Franklin Gothic Book"/>
      <family val="2"/>
    </font>
    <font>
      <b/>
      <sz val="9"/>
      <name val="Franklin Gothic Book"/>
      <family val="2"/>
    </font>
    <font>
      <sz val="9"/>
      <color indexed="8"/>
      <name val="Franklin Gothic Book"/>
      <family val="2"/>
    </font>
    <font>
      <b/>
      <sz val="11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7"/>
      <name val="Franklin Gothic Book"/>
      <family val="2"/>
    </font>
    <font>
      <b/>
      <sz val="11"/>
      <color indexed="49"/>
      <name val="Franklin Gothic Book"/>
      <family val="2"/>
    </font>
    <font>
      <sz val="9"/>
      <color indexed="9"/>
      <name val="Franklin Gothic Book"/>
      <family val="2"/>
    </font>
    <font>
      <sz val="36"/>
      <color indexed="8"/>
      <name val="Franklin Gothic Book"/>
      <family val="2"/>
    </font>
    <font>
      <b/>
      <sz val="9"/>
      <color indexed="10"/>
      <name val="Franklin Gothic Book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color indexed="10"/>
      <name val="Franklin Gothic Book"/>
      <family val="2"/>
    </font>
    <font>
      <sz val="36"/>
      <color indexed="13"/>
      <name val="Franklin Gothic Book"/>
      <family val="2"/>
    </font>
    <font>
      <sz val="18"/>
      <color indexed="8"/>
      <name val="Franklin Gothic Book"/>
      <family val="2"/>
    </font>
    <font>
      <b/>
      <u val="single"/>
      <sz val="14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4"/>
      <color indexed="10"/>
      <name val="Franklin Gothic Book"/>
      <family val="2"/>
    </font>
    <font>
      <b/>
      <sz val="14"/>
      <color indexed="36"/>
      <name val="Franklin Gothic Book"/>
      <family val="2"/>
    </font>
    <font>
      <b/>
      <sz val="14"/>
      <color indexed="30"/>
      <name val="Franklin Gothic Book"/>
      <family val="2"/>
    </font>
    <font>
      <b/>
      <sz val="24"/>
      <color indexed="10"/>
      <name val="Franklin Gothic Book"/>
      <family val="2"/>
    </font>
    <font>
      <b/>
      <sz val="16"/>
      <color indexed="8"/>
      <name val="Franklin Gothic Book"/>
      <family val="2"/>
    </font>
    <font>
      <sz val="16"/>
      <color indexed="8"/>
      <name val="Franklin Gothic Book"/>
      <family val="2"/>
    </font>
    <font>
      <b/>
      <sz val="28"/>
      <color indexed="63"/>
      <name val="Franklin Gothic Book"/>
      <family val="2"/>
    </font>
    <font>
      <b/>
      <sz val="16"/>
      <color indexed="63"/>
      <name val="Franklin Gothic Book"/>
      <family val="2"/>
    </font>
    <font>
      <b/>
      <vertAlign val="superscript"/>
      <sz val="16"/>
      <color indexed="63"/>
      <name val="Franklin Gothic Book"/>
      <family val="2"/>
    </font>
    <font>
      <sz val="36"/>
      <color indexed="60"/>
      <name val="Franklin Gothic Book"/>
      <family val="2"/>
    </font>
    <font>
      <b/>
      <u val="single"/>
      <sz val="22"/>
      <color indexed="8"/>
      <name val="Franklin Gothic Book"/>
      <family val="2"/>
    </font>
    <font>
      <b/>
      <sz val="18"/>
      <color indexed="8"/>
      <name val="Franklin Gothic Book"/>
      <family val="2"/>
    </font>
    <font>
      <b/>
      <sz val="18"/>
      <color indexed="63"/>
      <name val="Franklin Gothic Book"/>
      <family val="2"/>
    </font>
    <font>
      <sz val="24"/>
      <color indexed="36"/>
      <name val="Franklin Gothic Book"/>
      <family val="2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Franklin Gothic Book"/>
      <family val="2"/>
    </font>
    <font>
      <b/>
      <sz val="11"/>
      <color rgb="FF00B050"/>
      <name val="Franklin Gothic Book"/>
      <family val="2"/>
    </font>
    <font>
      <b/>
      <sz val="11"/>
      <color theme="4"/>
      <name val="Franklin Gothic Book"/>
      <family val="2"/>
    </font>
    <font>
      <sz val="9"/>
      <color theme="0"/>
      <name val="Franklin Gothic Book"/>
      <family val="2"/>
    </font>
    <font>
      <sz val="11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9"/>
      <color rgb="FFFF0000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rgb="FFFF0000"/>
      <name val="Franklin Gothic Book"/>
      <family val="2"/>
    </font>
    <font>
      <b/>
      <sz val="16"/>
      <color rgb="FF494949"/>
      <name val="Franklin Gothic Book"/>
      <family val="2"/>
    </font>
    <font>
      <b/>
      <u val="single"/>
      <sz val="22"/>
      <color rgb="FF000000"/>
      <name val="Franklin Gothic Book"/>
      <family val="2"/>
    </font>
    <font>
      <b/>
      <sz val="18"/>
      <color theme="1"/>
      <name val="Franklin Gothic Book"/>
      <family val="2"/>
    </font>
    <font>
      <b/>
      <sz val="18"/>
      <color rgb="FF494949"/>
      <name val="Franklin Gothic Book"/>
      <family val="2"/>
    </font>
    <font>
      <b/>
      <sz val="28"/>
      <color rgb="FF494949"/>
      <name val="Franklin Gothic Book"/>
      <family val="2"/>
    </font>
    <font>
      <b/>
      <sz val="16"/>
      <color theme="1"/>
      <name val="Franklin Gothic Book"/>
      <family val="2"/>
    </font>
    <font>
      <sz val="36"/>
      <color theme="1"/>
      <name val="Franklin Gothic Book"/>
      <family val="2"/>
    </font>
    <font>
      <sz val="18"/>
      <color theme="1"/>
      <name val="Franklin Gothic Book"/>
      <family val="2"/>
    </font>
    <font>
      <sz val="36"/>
      <color rgb="FFC64101"/>
      <name val="Franklin Gothic Book"/>
      <family val="2"/>
    </font>
    <font>
      <sz val="24"/>
      <color rgb="FF7030A0"/>
      <name val="Franklin Gothic Boo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>
        <color rgb="FF00B050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ck">
        <color rgb="FFFF0000"/>
      </right>
      <top/>
      <bottom style="thin"/>
    </border>
    <border>
      <left style="thin"/>
      <right style="thick">
        <color rgb="FFFF0000"/>
      </right>
      <top style="thin"/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ck">
        <color rgb="FFFF0000"/>
      </right>
      <top style="thin"/>
      <bottom style="thick">
        <color rgb="FFFF0000"/>
      </bottom>
    </border>
    <border>
      <left style="thin"/>
      <right style="thick">
        <color theme="9"/>
      </right>
      <top/>
      <bottom style="thin"/>
    </border>
    <border>
      <left style="thin"/>
      <right style="thick">
        <color theme="9"/>
      </right>
      <top style="thin"/>
      <bottom style="thin"/>
    </border>
    <border>
      <left style="thin"/>
      <right style="thin"/>
      <top style="thin"/>
      <bottom style="thick">
        <color theme="9"/>
      </bottom>
    </border>
    <border>
      <left style="thin"/>
      <right style="thick">
        <color theme="9"/>
      </right>
      <top style="thin"/>
      <bottom style="thick">
        <color theme="9"/>
      </bottom>
    </border>
    <border>
      <left style="thick">
        <color theme="9"/>
      </left>
      <right style="thick">
        <color theme="9"/>
      </right>
      <top style="thick">
        <color theme="9"/>
      </top>
      <bottom style="thick">
        <color theme="9"/>
      </bottom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/>
      <top/>
      <bottom/>
    </border>
    <border>
      <left/>
      <right style="medium">
        <color theme="9"/>
      </right>
      <top/>
      <bottom/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thick">
        <color rgb="FFFF0000"/>
      </left>
      <right style="thin"/>
      <top/>
      <bottom style="thin"/>
    </border>
    <border>
      <left style="thick">
        <color rgb="FFFF0000"/>
      </left>
      <right style="thin"/>
      <top style="thin"/>
      <bottom style="thin"/>
    </border>
    <border>
      <left style="thick">
        <color rgb="FFFF0000"/>
      </left>
      <right style="thin"/>
      <top style="thin"/>
      <bottom style="thick">
        <color rgb="FFFF0000"/>
      </bottom>
    </border>
    <border>
      <left style="thick">
        <color rgb="FFFF0000"/>
      </left>
      <right style="thin"/>
      <top style="thin"/>
      <bottom style="thick">
        <color theme="9"/>
      </bottom>
    </border>
    <border>
      <left style="medium"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33" borderId="10" xfId="0" applyFont="1" applyFill="1" applyBorder="1" applyAlignment="1">
      <alignment horizontal="center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/>
    </xf>
    <xf numFmtId="3" fontId="5" fillId="34" borderId="13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8" fillId="0" borderId="20" xfId="0" applyFont="1" applyBorder="1" applyAlignment="1">
      <alignment/>
    </xf>
    <xf numFmtId="0" fontId="68" fillId="0" borderId="21" xfId="0" applyFont="1" applyBorder="1" applyAlignment="1">
      <alignment/>
    </xf>
    <xf numFmtId="0" fontId="72" fillId="0" borderId="2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8" fillId="0" borderId="23" xfId="0" applyFont="1" applyBorder="1" applyAlignment="1">
      <alignment/>
    </xf>
    <xf numFmtId="0" fontId="68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73" fillId="0" borderId="0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2" fillId="0" borderId="17" xfId="0" applyFont="1" applyBorder="1" applyAlignment="1">
      <alignment vertical="center" wrapText="1"/>
    </xf>
    <xf numFmtId="0" fontId="68" fillId="0" borderId="17" xfId="0" applyFont="1" applyBorder="1" applyAlignment="1">
      <alignment vertical="center" wrapText="1"/>
    </xf>
    <xf numFmtId="0" fontId="68" fillId="33" borderId="17" xfId="0" applyFont="1" applyFill="1" applyBorder="1" applyAlignment="1">
      <alignment vertical="center" wrapText="1"/>
    </xf>
    <xf numFmtId="0" fontId="68" fillId="0" borderId="28" xfId="0" applyFont="1" applyBorder="1" applyAlignment="1">
      <alignment vertical="center" wrapText="1"/>
    </xf>
    <xf numFmtId="0" fontId="74" fillId="35" borderId="29" xfId="0" applyFont="1" applyFill="1" applyBorder="1" applyAlignment="1">
      <alignment vertical="center" wrapText="1"/>
    </xf>
    <xf numFmtId="0" fontId="74" fillId="35" borderId="30" xfId="0" applyFont="1" applyFill="1" applyBorder="1" applyAlignment="1">
      <alignment vertical="center" wrapText="1"/>
    </xf>
    <xf numFmtId="0" fontId="74" fillId="35" borderId="31" xfId="0" applyFont="1" applyFill="1" applyBorder="1" applyAlignment="1">
      <alignment vertical="center" wrapText="1"/>
    </xf>
    <xf numFmtId="0" fontId="68" fillId="33" borderId="32" xfId="0" applyFont="1" applyFill="1" applyBorder="1" applyAlignment="1">
      <alignment vertical="center" wrapText="1"/>
    </xf>
    <xf numFmtId="0" fontId="68" fillId="0" borderId="33" xfId="0" applyFont="1" applyBorder="1" applyAlignment="1">
      <alignment vertical="center" wrapText="1"/>
    </xf>
    <xf numFmtId="0" fontId="68" fillId="0" borderId="33" xfId="0" applyFont="1" applyBorder="1" applyAlignment="1">
      <alignment/>
    </xf>
    <xf numFmtId="0" fontId="73" fillId="0" borderId="34" xfId="0" applyFont="1" applyBorder="1" applyAlignment="1" applyProtection="1">
      <alignment vertical="center" wrapText="1"/>
      <protection/>
    </xf>
    <xf numFmtId="0" fontId="73" fillId="0" borderId="35" xfId="0" applyFont="1" applyBorder="1" applyAlignment="1">
      <alignment vertical="center" wrapText="1"/>
    </xf>
    <xf numFmtId="0" fontId="73" fillId="0" borderId="36" xfId="0" applyFont="1" applyBorder="1" applyAlignment="1">
      <alignment vertical="center" wrapText="1"/>
    </xf>
    <xf numFmtId="0" fontId="73" fillId="0" borderId="37" xfId="0" applyFont="1" applyBorder="1" applyAlignment="1">
      <alignment vertical="center" wrapText="1"/>
    </xf>
    <xf numFmtId="0" fontId="73" fillId="0" borderId="38" xfId="0" applyFont="1" applyBorder="1" applyAlignment="1">
      <alignment vertical="center" wrapText="1"/>
    </xf>
    <xf numFmtId="0" fontId="74" fillId="35" borderId="39" xfId="0" applyFont="1" applyFill="1" applyBorder="1" applyAlignment="1">
      <alignment vertical="center" wrapText="1"/>
    </xf>
    <xf numFmtId="2" fontId="14" fillId="33" borderId="32" xfId="0" applyNumberFormat="1" applyFont="1" applyFill="1" applyBorder="1" applyAlignment="1">
      <alignment vertical="center" wrapText="1"/>
    </xf>
    <xf numFmtId="2" fontId="0" fillId="0" borderId="33" xfId="0" applyNumberFormat="1" applyBorder="1" applyAlignment="1">
      <alignment vertical="center" wrapText="1"/>
    </xf>
    <xf numFmtId="2" fontId="0" fillId="0" borderId="40" xfId="0" applyNumberFormat="1" applyBorder="1" applyAlignment="1">
      <alignment/>
    </xf>
    <xf numFmtId="2" fontId="0" fillId="0" borderId="28" xfId="0" applyNumberFormat="1" applyBorder="1" applyAlignment="1">
      <alignment vertical="center" wrapText="1"/>
    </xf>
    <xf numFmtId="2" fontId="0" fillId="33" borderId="17" xfId="0" applyNumberFormat="1" applyFill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2" fontId="0" fillId="0" borderId="41" xfId="0" applyNumberForma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0" fillId="33" borderId="13" xfId="0" applyNumberForma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164" fontId="5" fillId="33" borderId="19" xfId="0" applyNumberFormat="1" applyFont="1" applyFill="1" applyBorder="1" applyAlignment="1">
      <alignment horizontal="center" vertical="center"/>
    </xf>
    <xf numFmtId="0" fontId="71" fillId="0" borderId="23" xfId="0" applyFont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5" fillId="36" borderId="15" xfId="0" applyNumberFormat="1" applyFont="1" applyFill="1" applyBorder="1" applyAlignment="1">
      <alignment horizontal="center" vertical="center"/>
    </xf>
    <xf numFmtId="3" fontId="5" fillId="36" borderId="11" xfId="0" applyNumberFormat="1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NumberFormat="1" applyFont="1" applyFill="1" applyBorder="1" applyAlignment="1">
      <alignment horizontal="center" vertical="center"/>
    </xf>
    <xf numFmtId="3" fontId="5" fillId="36" borderId="12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/>
    </xf>
    <xf numFmtId="3" fontId="5" fillId="36" borderId="13" xfId="0" applyNumberFormat="1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/>
    </xf>
    <xf numFmtId="3" fontId="5" fillId="37" borderId="12" xfId="0" applyNumberFormat="1" applyFont="1" applyFill="1" applyBorder="1" applyAlignment="1">
      <alignment horizontal="center" vertical="center"/>
    </xf>
    <xf numFmtId="0" fontId="5" fillId="37" borderId="17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/>
    </xf>
    <xf numFmtId="3" fontId="5" fillId="37" borderId="13" xfId="0" applyNumberFormat="1" applyFont="1" applyFill="1" applyBorder="1" applyAlignment="1">
      <alignment horizontal="center" vertical="center"/>
    </xf>
    <xf numFmtId="0" fontId="5" fillId="38" borderId="14" xfId="0" applyFont="1" applyFill="1" applyBorder="1" applyAlignment="1">
      <alignment horizontal="center" vertical="center" wrapText="1"/>
    </xf>
    <xf numFmtId="0" fontId="5" fillId="38" borderId="15" xfId="0" applyNumberFormat="1" applyFont="1" applyFill="1" applyBorder="1" applyAlignment="1">
      <alignment horizontal="center" vertical="center"/>
    </xf>
    <xf numFmtId="3" fontId="5" fillId="38" borderId="11" xfId="0" applyNumberFormat="1" applyFont="1" applyFill="1" applyBorder="1" applyAlignment="1">
      <alignment horizontal="center" vertical="center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NumberFormat="1" applyFont="1" applyFill="1" applyBorder="1" applyAlignment="1">
      <alignment horizontal="center" vertical="center"/>
    </xf>
    <xf numFmtId="3" fontId="5" fillId="38" borderId="12" xfId="0" applyNumberFormat="1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/>
    </xf>
    <xf numFmtId="3" fontId="5" fillId="38" borderId="13" xfId="0" applyNumberFormat="1" applyFont="1" applyFill="1" applyBorder="1" applyAlignment="1">
      <alignment horizontal="center" vertical="center"/>
    </xf>
    <xf numFmtId="0" fontId="5" fillId="39" borderId="14" xfId="0" applyFont="1" applyFill="1" applyBorder="1" applyAlignment="1">
      <alignment horizontal="center" vertical="center" wrapText="1"/>
    </xf>
    <xf numFmtId="3" fontId="5" fillId="39" borderId="11" xfId="0" applyNumberFormat="1" applyFont="1" applyFill="1" applyBorder="1" applyAlignment="1">
      <alignment horizontal="center" vertical="center"/>
    </xf>
    <xf numFmtId="0" fontId="5" fillId="39" borderId="16" xfId="0" applyFont="1" applyFill="1" applyBorder="1" applyAlignment="1">
      <alignment horizontal="center" vertical="center" wrapText="1"/>
    </xf>
    <xf numFmtId="0" fontId="5" fillId="39" borderId="17" xfId="0" applyFont="1" applyFill="1" applyBorder="1" applyAlignment="1">
      <alignment horizontal="center" vertical="center"/>
    </xf>
    <xf numFmtId="3" fontId="5" fillId="39" borderId="12" xfId="0" applyNumberFormat="1" applyFont="1" applyFill="1" applyBorder="1" applyAlignment="1">
      <alignment horizontal="center" vertical="center"/>
    </xf>
    <xf numFmtId="0" fontId="5" fillId="39" borderId="18" xfId="0" applyFont="1" applyFill="1" applyBorder="1" applyAlignment="1">
      <alignment horizontal="center" vertical="center" wrapText="1"/>
    </xf>
    <xf numFmtId="0" fontId="5" fillId="39" borderId="19" xfId="0" applyFont="1" applyFill="1" applyBorder="1" applyAlignment="1">
      <alignment horizontal="center" vertical="center"/>
    </xf>
    <xf numFmtId="3" fontId="5" fillId="39" borderId="13" xfId="0" applyNumberFormat="1" applyFont="1" applyFill="1" applyBorder="1" applyAlignment="1">
      <alignment horizontal="center" vertical="center"/>
    </xf>
    <xf numFmtId="164" fontId="5" fillId="37" borderId="15" xfId="0" applyNumberFormat="1" applyFont="1" applyFill="1" applyBorder="1" applyAlignment="1">
      <alignment horizontal="center" vertical="center"/>
    </xf>
    <xf numFmtId="164" fontId="5" fillId="37" borderId="17" xfId="0" applyNumberFormat="1" applyFont="1" applyFill="1" applyBorder="1" applyAlignment="1">
      <alignment horizontal="center" vertical="center"/>
    </xf>
    <xf numFmtId="164" fontId="5" fillId="37" borderId="19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5" fillId="20" borderId="14" xfId="0" applyFont="1" applyFill="1" applyBorder="1" applyAlignment="1">
      <alignment horizontal="center" vertical="center" wrapText="1"/>
    </xf>
    <xf numFmtId="0" fontId="5" fillId="20" borderId="15" xfId="0" applyNumberFormat="1" applyFont="1" applyFill="1" applyBorder="1" applyAlignment="1">
      <alignment horizontal="center" vertical="center"/>
    </xf>
    <xf numFmtId="3" fontId="5" fillId="20" borderId="11" xfId="0" applyNumberFormat="1" applyFont="1" applyFill="1" applyBorder="1" applyAlignment="1">
      <alignment horizontal="center" vertical="center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NumberFormat="1" applyFont="1" applyFill="1" applyBorder="1" applyAlignment="1">
      <alignment horizontal="center" vertical="center"/>
    </xf>
    <xf numFmtId="3" fontId="5" fillId="20" borderId="12" xfId="0" applyNumberFormat="1" applyFont="1" applyFill="1" applyBorder="1" applyAlignment="1">
      <alignment horizontal="center" vertical="center"/>
    </xf>
    <xf numFmtId="0" fontId="5" fillId="20" borderId="17" xfId="0" applyFont="1" applyFill="1" applyBorder="1" applyAlignment="1">
      <alignment horizontal="center" vertical="center"/>
    </xf>
    <xf numFmtId="0" fontId="5" fillId="20" borderId="18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/>
    </xf>
    <xf numFmtId="3" fontId="5" fillId="20" borderId="13" xfId="0" applyNumberFormat="1" applyFont="1" applyFill="1" applyBorder="1" applyAlignment="1">
      <alignment horizontal="center" vertical="center"/>
    </xf>
    <xf numFmtId="0" fontId="5" fillId="39" borderId="15" xfId="0" applyNumberFormat="1" applyFont="1" applyFill="1" applyBorder="1" applyAlignment="1">
      <alignment horizontal="center" vertical="center"/>
    </xf>
    <xf numFmtId="0" fontId="5" fillId="39" borderId="17" xfId="0" applyNumberFormat="1" applyFont="1" applyFill="1" applyBorder="1" applyAlignment="1">
      <alignment horizontal="center" vertical="center"/>
    </xf>
    <xf numFmtId="0" fontId="72" fillId="0" borderId="33" xfId="0" applyFont="1" applyBorder="1" applyAlignment="1">
      <alignment vertical="center" wrapText="1"/>
    </xf>
    <xf numFmtId="0" fontId="72" fillId="0" borderId="42" xfId="0" applyFont="1" applyBorder="1" applyAlignment="1">
      <alignment vertical="center" wrapText="1"/>
    </xf>
    <xf numFmtId="0" fontId="72" fillId="0" borderId="43" xfId="0" applyFont="1" applyBorder="1" applyAlignment="1">
      <alignment vertical="center" wrapText="1"/>
    </xf>
    <xf numFmtId="0" fontId="72" fillId="0" borderId="44" xfId="0" applyFont="1" applyBorder="1" applyAlignment="1">
      <alignment vertical="center" wrapText="1"/>
    </xf>
    <xf numFmtId="0" fontId="72" fillId="0" borderId="45" xfId="0" applyFont="1" applyBorder="1" applyAlignment="1">
      <alignment vertical="center" wrapText="1"/>
    </xf>
    <xf numFmtId="0" fontId="72" fillId="0" borderId="46" xfId="0" applyFont="1" applyBorder="1" applyAlignment="1">
      <alignment vertical="center" wrapText="1"/>
    </xf>
    <xf numFmtId="0" fontId="72" fillId="0" borderId="47" xfId="0" applyFont="1" applyBorder="1" applyAlignment="1">
      <alignment vertical="center" wrapText="1"/>
    </xf>
    <xf numFmtId="0" fontId="72" fillId="0" borderId="48" xfId="0" applyFont="1" applyBorder="1" applyAlignment="1">
      <alignment vertical="center" wrapText="1"/>
    </xf>
    <xf numFmtId="0" fontId="72" fillId="0" borderId="49" xfId="0" applyFont="1" applyBorder="1" applyAlignment="1">
      <alignment vertical="center" wrapText="1"/>
    </xf>
    <xf numFmtId="0" fontId="75" fillId="0" borderId="50" xfId="0" applyFont="1" applyBorder="1" applyAlignment="1">
      <alignment vertical="center" wrapText="1"/>
    </xf>
    <xf numFmtId="0" fontId="68" fillId="0" borderId="51" xfId="0" applyFont="1" applyBorder="1" applyAlignment="1">
      <alignment/>
    </xf>
    <xf numFmtId="0" fontId="68" fillId="0" borderId="52" xfId="0" applyFont="1" applyBorder="1" applyAlignment="1">
      <alignment/>
    </xf>
    <xf numFmtId="0" fontId="72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68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6" fillId="8" borderId="59" xfId="0" applyFont="1" applyFill="1" applyBorder="1" applyAlignment="1">
      <alignment vertical="center" wrapText="1"/>
    </xf>
    <xf numFmtId="0" fontId="76" fillId="8" borderId="60" xfId="0" applyFont="1" applyFill="1" applyBorder="1" applyAlignment="1">
      <alignment vertical="center" wrapText="1"/>
    </xf>
    <xf numFmtId="0" fontId="76" fillId="8" borderId="61" xfId="0" applyFont="1" applyFill="1" applyBorder="1" applyAlignment="1">
      <alignment vertical="center" wrapText="1"/>
    </xf>
    <xf numFmtId="0" fontId="76" fillId="8" borderId="32" xfId="0" applyFont="1" applyFill="1" applyBorder="1" applyAlignment="1">
      <alignment vertical="center" wrapText="1"/>
    </xf>
    <xf numFmtId="0" fontId="76" fillId="8" borderId="28" xfId="0" applyFont="1" applyFill="1" applyBorder="1" applyAlignment="1">
      <alignment vertical="center" wrapText="1"/>
    </xf>
    <xf numFmtId="0" fontId="76" fillId="8" borderId="6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5" fillId="40" borderId="63" xfId="0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/>
    </xf>
    <xf numFmtId="0" fontId="77" fillId="41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/>
    </xf>
    <xf numFmtId="0" fontId="78" fillId="0" borderId="66" xfId="0" applyFont="1" applyBorder="1" applyAlignment="1">
      <alignment vertical="center"/>
    </xf>
    <xf numFmtId="0" fontId="0" fillId="0" borderId="67" xfId="0" applyBorder="1" applyAlignment="1">
      <alignment/>
    </xf>
    <xf numFmtId="0" fontId="79" fillId="0" borderId="66" xfId="0" applyFont="1" applyBorder="1" applyAlignment="1">
      <alignment vertical="center" wrapText="1"/>
    </xf>
    <xf numFmtId="0" fontId="79" fillId="0" borderId="0" xfId="0" applyFont="1" applyBorder="1" applyAlignment="1">
      <alignment vertical="center" wrapText="1"/>
    </xf>
    <xf numFmtId="0" fontId="80" fillId="0" borderId="68" xfId="0" applyFont="1" applyBorder="1" applyAlignment="1">
      <alignment vertical="center" wrapText="1"/>
    </xf>
    <xf numFmtId="0" fontId="79" fillId="0" borderId="69" xfId="0" applyFont="1" applyBorder="1" applyAlignment="1">
      <alignment vertical="center" wrapText="1"/>
    </xf>
    <xf numFmtId="0" fontId="0" fillId="0" borderId="32" xfId="0" applyBorder="1" applyAlignment="1">
      <alignment/>
    </xf>
    <xf numFmtId="0" fontId="77" fillId="14" borderId="64" xfId="0" applyFont="1" applyFill="1" applyBorder="1" applyAlignment="1">
      <alignment vertical="center" wrapText="1"/>
    </xf>
    <xf numFmtId="0" fontId="81" fillId="42" borderId="64" xfId="0" applyFont="1" applyFill="1" applyBorder="1" applyAlignment="1">
      <alignment horizontal="center" vertical="center" wrapText="1"/>
    </xf>
    <xf numFmtId="0" fontId="55" fillId="0" borderId="0" xfId="42" applyAlignment="1">
      <alignment/>
    </xf>
    <xf numFmtId="0" fontId="0" fillId="43" borderId="20" xfId="0" applyFill="1" applyBorder="1" applyAlignment="1">
      <alignment horizontal="center"/>
    </xf>
    <xf numFmtId="0" fontId="0" fillId="43" borderId="21" xfId="0" applyFill="1" applyBorder="1" applyAlignment="1">
      <alignment horizontal="center"/>
    </xf>
    <xf numFmtId="0" fontId="0" fillId="43" borderId="22" xfId="0" applyFill="1" applyBorder="1" applyAlignment="1">
      <alignment horizontal="center"/>
    </xf>
    <xf numFmtId="0" fontId="0" fillId="43" borderId="23" xfId="0" applyFill="1" applyBorder="1" applyAlignment="1">
      <alignment horizontal="center"/>
    </xf>
    <xf numFmtId="0" fontId="0" fillId="43" borderId="0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3" borderId="26" xfId="0" applyFill="1" applyBorder="1" applyAlignment="1">
      <alignment horizontal="center"/>
    </xf>
    <xf numFmtId="0" fontId="0" fillId="43" borderId="27" xfId="0" applyFill="1" applyBorder="1" applyAlignment="1">
      <alignment horizontal="center"/>
    </xf>
    <xf numFmtId="0" fontId="20" fillId="44" borderId="20" xfId="0" applyFont="1" applyFill="1" applyBorder="1" applyAlignment="1">
      <alignment horizontal="center" vertical="center" wrapText="1"/>
    </xf>
    <xf numFmtId="0" fontId="8" fillId="44" borderId="22" xfId="0" applyFont="1" applyFill="1" applyBorder="1" applyAlignment="1">
      <alignment horizontal="center" vertical="center"/>
    </xf>
    <xf numFmtId="0" fontId="8" fillId="44" borderId="23" xfId="0" applyFont="1" applyFill="1" applyBorder="1" applyAlignment="1">
      <alignment horizontal="center" vertical="center"/>
    </xf>
    <xf numFmtId="0" fontId="8" fillId="44" borderId="24" xfId="0" applyFont="1" applyFill="1" applyBorder="1" applyAlignment="1">
      <alignment horizontal="center" vertical="center"/>
    </xf>
    <xf numFmtId="0" fontId="8" fillId="44" borderId="25" xfId="0" applyFont="1" applyFill="1" applyBorder="1" applyAlignment="1">
      <alignment horizontal="center" vertical="center"/>
    </xf>
    <xf numFmtId="0" fontId="8" fillId="44" borderId="27" xfId="0" applyFont="1" applyFill="1" applyBorder="1" applyAlignment="1">
      <alignment horizontal="center" vertical="center"/>
    </xf>
    <xf numFmtId="0" fontId="82" fillId="23" borderId="0" xfId="0" applyFont="1" applyFill="1" applyBorder="1" applyAlignment="1">
      <alignment horizontal="center" wrapText="1"/>
    </xf>
    <xf numFmtId="0" fontId="83" fillId="38" borderId="0" xfId="0" applyFont="1" applyFill="1" applyBorder="1" applyAlignment="1">
      <alignment horizontal="center" wrapText="1"/>
    </xf>
    <xf numFmtId="0" fontId="0" fillId="38" borderId="0" xfId="0" applyFill="1" applyBorder="1" applyAlignment="1">
      <alignment horizontal="center" wrapText="1"/>
    </xf>
    <xf numFmtId="0" fontId="73" fillId="21" borderId="0" xfId="0" applyFont="1" applyFill="1" applyBorder="1" applyAlignment="1">
      <alignment horizontal="center" wrapText="1"/>
    </xf>
    <xf numFmtId="0" fontId="73" fillId="21" borderId="26" xfId="0" applyFont="1" applyFill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84" fillId="24" borderId="0" xfId="0" applyFont="1" applyFill="1" applyAlignment="1">
      <alignment horizontal="center" wrapText="1"/>
    </xf>
    <xf numFmtId="0" fontId="84" fillId="24" borderId="0" xfId="0" applyFont="1" applyFill="1" applyAlignment="1">
      <alignment horizontal="center"/>
    </xf>
    <xf numFmtId="0" fontId="85" fillId="22" borderId="70" xfId="0" applyFont="1" applyFill="1" applyBorder="1" applyAlignment="1">
      <alignment horizontal="center" vertical="center"/>
    </xf>
    <xf numFmtId="0" fontId="85" fillId="22" borderId="71" xfId="0" applyFont="1" applyFill="1" applyBorder="1" applyAlignment="1">
      <alignment horizontal="center" vertical="center"/>
    </xf>
    <xf numFmtId="0" fontId="86" fillId="22" borderId="0" xfId="0" applyFont="1" applyFill="1" applyAlignment="1">
      <alignment horizontal="center" vertical="top" wrapText="1"/>
    </xf>
    <xf numFmtId="0" fontId="0" fillId="22" borderId="0" xfId="0" applyFill="1" applyAlignment="1">
      <alignment horizontal="center" vertical="top"/>
    </xf>
    <xf numFmtId="0" fontId="25" fillId="40" borderId="20" xfId="0" applyFont="1" applyFill="1" applyBorder="1" applyAlignment="1">
      <alignment horizontal="center" vertical="center" wrapText="1"/>
    </xf>
    <xf numFmtId="0" fontId="25" fillId="40" borderId="23" xfId="0" applyFont="1" applyFill="1" applyBorder="1" applyAlignment="1">
      <alignment horizontal="center" vertical="center"/>
    </xf>
    <xf numFmtId="0" fontId="25" fillId="40" borderId="25" xfId="0" applyFont="1" applyFill="1" applyBorder="1" applyAlignment="1">
      <alignment horizontal="center" vertical="center"/>
    </xf>
    <xf numFmtId="0" fontId="26" fillId="45" borderId="72" xfId="0" applyFont="1" applyFill="1" applyBorder="1" applyAlignment="1">
      <alignment horizontal="center" vertical="center"/>
    </xf>
    <xf numFmtId="0" fontId="26" fillId="45" borderId="73" xfId="0" applyFont="1" applyFill="1" applyBorder="1" applyAlignment="1">
      <alignment horizontal="center" vertical="center"/>
    </xf>
    <xf numFmtId="0" fontId="26" fillId="45" borderId="7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Relationship Id="rId9" Type="http://schemas.openxmlformats.org/officeDocument/2006/relationships/image" Target="../media/image17.png" /><Relationship Id="rId10" Type="http://schemas.openxmlformats.org/officeDocument/2006/relationships/image" Target="http://buran-38.ru/d/384890/d/84055221_1.jpg" TargetMode="External" /><Relationship Id="rId11" Type="http://schemas.openxmlformats.org/officeDocument/2006/relationships/image" Target="http://buran-38.ru/d/384890/d/84056621_6.jpg" TargetMode="External" /><Relationship Id="rId12" Type="http://schemas.openxmlformats.org/officeDocument/2006/relationships/image" Target="http://buran-38.ru/d/384890/d/84056821_6.jpg" TargetMode="External" /><Relationship Id="rId13" Type="http://schemas.openxmlformats.org/officeDocument/2006/relationships/image" Target="http://buran-38.ru/d/384890/d/84057021_6.jpg" TargetMode="External" /><Relationship Id="rId14" Type="http://schemas.openxmlformats.org/officeDocument/2006/relationships/image" Target="http://buran-38.ru/d/384890/d/84057421_6.jpg" TargetMode="External" /><Relationship Id="rId15" Type="http://schemas.openxmlformats.org/officeDocument/2006/relationships/image" Target="http://buran-38.ru/d/384890/d/84057821_6.jpg" TargetMode="External" /><Relationship Id="rId16" Type="http://schemas.openxmlformats.org/officeDocument/2006/relationships/image" Target="http://buran-38.ru/d/384890/d/84058221_6.jpg" TargetMode="External" /><Relationship Id="rId17" Type="http://schemas.openxmlformats.org/officeDocument/2006/relationships/image" Target="http://buran-38.ru/d/384890/d/84059421_6.jpg" TargetMode="External" /><Relationship Id="rId18" Type="http://schemas.openxmlformats.org/officeDocument/2006/relationships/image" Target="http://buran-38.ru/d/384890/d/84058821_6.jpg" TargetMode="External" /><Relationship Id="rId19" Type="http://schemas.openxmlformats.org/officeDocument/2006/relationships/image" Target="http://buran-38.ru/d/384890/d/84059621_6.jpg" TargetMode="External" /><Relationship Id="rId20" Type="http://schemas.openxmlformats.org/officeDocument/2006/relationships/image" Target="http://buran-38.ru/d/384890/d/84059021_6.jp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29.png" /><Relationship Id="rId3" Type="http://schemas.openxmlformats.org/officeDocument/2006/relationships/image" Target="../media/image30.png" /><Relationship Id="rId4" Type="http://schemas.openxmlformats.org/officeDocument/2006/relationships/image" Target="../media/image31.png" /><Relationship Id="rId5" Type="http://schemas.openxmlformats.org/officeDocument/2006/relationships/image" Target="../media/image32.png" /><Relationship Id="rId6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838200</xdr:colOff>
      <xdr:row>0</xdr:row>
      <xdr:rowOff>0</xdr:rowOff>
    </xdr:from>
    <xdr:to>
      <xdr:col>2</xdr:col>
      <xdr:colOff>2647950</xdr:colOff>
      <xdr:row>4</xdr:row>
      <xdr:rowOff>590550</xdr:rowOff>
    </xdr:to>
    <xdr:pic>
      <xdr:nvPicPr>
        <xdr:cNvPr id="1" name="Picture 2" descr="1kpov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0"/>
          <a:ext cx="18097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2733675</xdr:colOff>
      <xdr:row>0</xdr:row>
      <xdr:rowOff>0</xdr:rowOff>
    </xdr:from>
    <xdr:to>
      <xdr:col>2</xdr:col>
      <xdr:colOff>4581525</xdr:colOff>
      <xdr:row>4</xdr:row>
      <xdr:rowOff>657225</xdr:rowOff>
    </xdr:to>
    <xdr:pic>
      <xdr:nvPicPr>
        <xdr:cNvPr id="2" name="Picture 5" descr="3kpov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847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628650</xdr:colOff>
      <xdr:row>4</xdr:row>
      <xdr:rowOff>561975</xdr:rowOff>
    </xdr:to>
    <xdr:pic>
      <xdr:nvPicPr>
        <xdr:cNvPr id="3" name="Picture 9" descr="5kpov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0"/>
          <a:ext cx="1743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400050</xdr:rowOff>
    </xdr:from>
    <xdr:to>
      <xdr:col>2</xdr:col>
      <xdr:colOff>4676775</xdr:colOff>
      <xdr:row>5</xdr:row>
      <xdr:rowOff>19050</xdr:rowOff>
    </xdr:to>
    <xdr:pic>
      <xdr:nvPicPr>
        <xdr:cNvPr id="4" name="Рисунок 6" descr="http://dva.kharkov.ua/image/cache/data/secondline5-800x600.png"/>
        <xdr:cNvPicPr preferRelativeResize="1">
          <a:picLocks noChangeAspect="1"/>
        </xdr:cNvPicPr>
      </xdr:nvPicPr>
      <xdr:blipFill>
        <a:blip r:embed="rId4"/>
        <a:srcRect l="-1121" t="11111" r="802" b="12820"/>
        <a:stretch>
          <a:fillRect/>
        </a:stretch>
      </xdr:blipFill>
      <xdr:spPr>
        <a:xfrm>
          <a:off x="0" y="1200150"/>
          <a:ext cx="5895975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1</xdr:row>
      <xdr:rowOff>0</xdr:rowOff>
    </xdr:from>
    <xdr:to>
      <xdr:col>7</xdr:col>
      <xdr:colOff>314325</xdr:colOff>
      <xdr:row>8</xdr:row>
      <xdr:rowOff>314325</xdr:rowOff>
    </xdr:to>
    <xdr:pic>
      <xdr:nvPicPr>
        <xdr:cNvPr id="1" name="Рисунок 1" descr="http://www.vozduhovod-nsk.ru/upload/resize_cache/iblock/05d/187_171_1/05da31dfeee1c6106f61950d2e7a6ca1.png"/>
        <xdr:cNvPicPr preferRelativeResize="1">
          <a:picLocks noChangeAspect="1"/>
        </xdr:cNvPicPr>
      </xdr:nvPicPr>
      <xdr:blipFill>
        <a:blip r:embed="rId1"/>
        <a:srcRect r="1162" b="874"/>
        <a:stretch>
          <a:fillRect/>
        </a:stretch>
      </xdr:blipFill>
      <xdr:spPr>
        <a:xfrm>
          <a:off x="6267450" y="200025"/>
          <a:ext cx="1409700" cy="2028825"/>
        </a:xfrm>
        <a:prstGeom prst="rect">
          <a:avLst/>
        </a:prstGeom>
        <a:solidFill>
          <a:srgbClr val="A9D18E"/>
        </a:solidFill>
        <a:ln w="127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123825</xdr:colOff>
      <xdr:row>28</xdr:row>
      <xdr:rowOff>123825</xdr:rowOff>
    </xdr:from>
    <xdr:to>
      <xdr:col>7</xdr:col>
      <xdr:colOff>447675</xdr:colOff>
      <xdr:row>33</xdr:row>
      <xdr:rowOff>542925</xdr:rowOff>
    </xdr:to>
    <xdr:pic>
      <xdr:nvPicPr>
        <xdr:cNvPr id="2" name="Рисунок 3" descr="http://www.vozduhovod-nsk.ru/upload/resize_cache/iblock/993/187_171_1/993af85192434b0147cfd46acc67256b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6600825"/>
          <a:ext cx="2152650" cy="1495425"/>
        </a:xfrm>
        <a:prstGeom prst="rect">
          <a:avLst/>
        </a:prstGeom>
        <a:solidFill>
          <a:srgbClr val="A9D18E"/>
        </a:solidFill>
        <a:ln w="1270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247650</xdr:colOff>
      <xdr:row>2</xdr:row>
      <xdr:rowOff>238125</xdr:rowOff>
    </xdr:from>
    <xdr:to>
      <xdr:col>7</xdr:col>
      <xdr:colOff>400050</xdr:colOff>
      <xdr:row>9</xdr:row>
      <xdr:rowOff>104775</xdr:rowOff>
    </xdr:to>
    <xdr:pic>
      <xdr:nvPicPr>
        <xdr:cNvPr id="1" name="Рисунок 3" descr="http://www.vozduhovod-nsk.ru/upload/resize_cache/iblock/d8a/187_171_1/d8a5fccbc7998e90b7480ab50db8638c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28675"/>
          <a:ext cx="1981200" cy="1981200"/>
        </a:xfrm>
        <a:prstGeom prst="rect">
          <a:avLst/>
        </a:prstGeom>
        <a:solidFill>
          <a:srgbClr val="ED7D31"/>
        </a:solidFill>
        <a:ln w="1270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257175</xdr:colOff>
      <xdr:row>29</xdr:row>
      <xdr:rowOff>133350</xdr:rowOff>
    </xdr:from>
    <xdr:to>
      <xdr:col>7</xdr:col>
      <xdr:colOff>361950</xdr:colOff>
      <xdr:row>36</xdr:row>
      <xdr:rowOff>733425</xdr:rowOff>
    </xdr:to>
    <xdr:pic>
      <xdr:nvPicPr>
        <xdr:cNvPr id="2" name="Рисунок 5" descr="http://www.vozduhovod-nsk.ru/upload/resize_cache/iblock/f31/187_171_1/f3141bbb401d5962eb3010b6c66ac735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7867650"/>
          <a:ext cx="1933575" cy="1933575"/>
        </a:xfrm>
        <a:prstGeom prst="rect">
          <a:avLst/>
        </a:prstGeom>
        <a:solidFill>
          <a:srgbClr val="ED7D31"/>
        </a:solidFill>
        <a:ln w="1270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4</xdr:col>
      <xdr:colOff>2362200</xdr:colOff>
      <xdr:row>3</xdr:row>
      <xdr:rowOff>190500</xdr:rowOff>
    </xdr:to>
    <xdr:pic>
      <xdr:nvPicPr>
        <xdr:cNvPr id="1" name="Рисунок 2" descr="http://vinzh.ru/images/price/vod/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50495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2362200</xdr:colOff>
      <xdr:row>4</xdr:row>
      <xdr:rowOff>28575</xdr:rowOff>
    </xdr:to>
    <xdr:pic>
      <xdr:nvPicPr>
        <xdr:cNvPr id="2" name="Рисунок 3" descr="http://vinzh.ru/images/price/vod/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2886075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2362200</xdr:colOff>
      <xdr:row>4</xdr:row>
      <xdr:rowOff>1571625</xdr:rowOff>
    </xdr:to>
    <xdr:pic>
      <xdr:nvPicPr>
        <xdr:cNvPr id="3" name="Рисунок 4" descr="http://vinzh.ru/images/price/vod/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4429125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2362200</xdr:colOff>
      <xdr:row>5</xdr:row>
      <xdr:rowOff>1571625</xdr:rowOff>
    </xdr:to>
    <xdr:pic>
      <xdr:nvPicPr>
        <xdr:cNvPr id="4" name="Рисунок 5" descr="http://vinzh.ru/images/price/vod/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609600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2362200</xdr:colOff>
      <xdr:row>6</xdr:row>
      <xdr:rowOff>1571625</xdr:rowOff>
    </xdr:to>
    <xdr:pic>
      <xdr:nvPicPr>
        <xdr:cNvPr id="5" name="Рисунок 6" descr="http://vinzh.ru/images/price/vod/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0" y="7686675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2362200</xdr:colOff>
      <xdr:row>8</xdr:row>
      <xdr:rowOff>38100</xdr:rowOff>
    </xdr:to>
    <xdr:pic>
      <xdr:nvPicPr>
        <xdr:cNvPr id="6" name="Рисунок 7" descr="http://vinzh.ru/images/price/vod/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0" y="944880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2362200</xdr:colOff>
      <xdr:row>8</xdr:row>
      <xdr:rowOff>1571625</xdr:rowOff>
    </xdr:to>
    <xdr:pic>
      <xdr:nvPicPr>
        <xdr:cNvPr id="7" name="Рисунок 8" descr="http://vinzh.ru/images/price/vod/7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048500" y="10982325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2362200</xdr:colOff>
      <xdr:row>9</xdr:row>
      <xdr:rowOff>1571625</xdr:rowOff>
    </xdr:to>
    <xdr:pic>
      <xdr:nvPicPr>
        <xdr:cNvPr id="8" name="Рисунок 9" descr="http://vinzh.ru/images/price/vod/8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048500" y="1341120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2362200</xdr:colOff>
      <xdr:row>10</xdr:row>
      <xdr:rowOff>1571625</xdr:rowOff>
    </xdr:to>
    <xdr:pic>
      <xdr:nvPicPr>
        <xdr:cNvPr id="9" name="Рисунок 10" descr="http://vinzh.ru/images/price/vod/9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0" y="1510665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8</xdr:col>
      <xdr:colOff>409575</xdr:colOff>
      <xdr:row>3</xdr:row>
      <xdr:rowOff>552450</xdr:rowOff>
    </xdr:to>
    <xdr:pic>
      <xdr:nvPicPr>
        <xdr:cNvPr id="10" name="Рисунок 11" descr="1014.jpg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10744200" y="2886075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3</xdr:row>
      <xdr:rowOff>0</xdr:rowOff>
    </xdr:from>
    <xdr:to>
      <xdr:col>9</xdr:col>
      <xdr:colOff>409575</xdr:colOff>
      <xdr:row>3</xdr:row>
      <xdr:rowOff>552450</xdr:rowOff>
    </xdr:to>
    <xdr:pic>
      <xdr:nvPicPr>
        <xdr:cNvPr id="11" name="Рисунок 12" descr="1015.jpg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13611225" y="2886075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4</xdr:row>
      <xdr:rowOff>0</xdr:rowOff>
    </xdr:from>
    <xdr:to>
      <xdr:col>8</xdr:col>
      <xdr:colOff>409575</xdr:colOff>
      <xdr:row>4</xdr:row>
      <xdr:rowOff>552450</xdr:rowOff>
    </xdr:to>
    <xdr:pic>
      <xdr:nvPicPr>
        <xdr:cNvPr id="12" name="Рисунок 13" descr="1018.jpg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10744200" y="4429125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4</xdr:row>
      <xdr:rowOff>0</xdr:rowOff>
    </xdr:from>
    <xdr:to>
      <xdr:col>9</xdr:col>
      <xdr:colOff>409575</xdr:colOff>
      <xdr:row>4</xdr:row>
      <xdr:rowOff>552450</xdr:rowOff>
    </xdr:to>
    <xdr:pic>
      <xdr:nvPicPr>
        <xdr:cNvPr id="13" name="Рисунок 14" descr="2004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13611225" y="4429125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5</xdr:row>
      <xdr:rowOff>0</xdr:rowOff>
    </xdr:from>
    <xdr:to>
      <xdr:col>8</xdr:col>
      <xdr:colOff>409575</xdr:colOff>
      <xdr:row>5</xdr:row>
      <xdr:rowOff>552450</xdr:rowOff>
    </xdr:to>
    <xdr:pic>
      <xdr:nvPicPr>
        <xdr:cNvPr id="14" name="Рисунок 15" descr="3005.jpg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10744200" y="6096000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9</xdr:col>
      <xdr:colOff>409575</xdr:colOff>
      <xdr:row>5</xdr:row>
      <xdr:rowOff>552450</xdr:rowOff>
    </xdr:to>
    <xdr:pic>
      <xdr:nvPicPr>
        <xdr:cNvPr id="15" name="Рисунок 16" descr="5002.jpg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13611225" y="6096000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6</xdr:row>
      <xdr:rowOff>0</xdr:rowOff>
    </xdr:from>
    <xdr:to>
      <xdr:col>8</xdr:col>
      <xdr:colOff>409575</xdr:colOff>
      <xdr:row>6</xdr:row>
      <xdr:rowOff>552450</xdr:rowOff>
    </xdr:to>
    <xdr:pic>
      <xdr:nvPicPr>
        <xdr:cNvPr id="16" name="Рисунок 17" descr="5005.jpg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10744200" y="7686675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</xdr:row>
      <xdr:rowOff>0</xdr:rowOff>
    </xdr:from>
    <xdr:to>
      <xdr:col>9</xdr:col>
      <xdr:colOff>409575</xdr:colOff>
      <xdr:row>6</xdr:row>
      <xdr:rowOff>552450</xdr:rowOff>
    </xdr:to>
    <xdr:pic>
      <xdr:nvPicPr>
        <xdr:cNvPr id="17" name="Рисунок 18" descr="5002.jpg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13611225" y="7686675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0</xdr:rowOff>
    </xdr:from>
    <xdr:to>
      <xdr:col>8</xdr:col>
      <xdr:colOff>409575</xdr:colOff>
      <xdr:row>7</xdr:row>
      <xdr:rowOff>552450</xdr:rowOff>
    </xdr:to>
    <xdr:pic>
      <xdr:nvPicPr>
        <xdr:cNvPr id="18" name="Рисунок 19" descr="8017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10744200" y="9448800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7</xdr:row>
      <xdr:rowOff>0</xdr:rowOff>
    </xdr:from>
    <xdr:to>
      <xdr:col>9</xdr:col>
      <xdr:colOff>409575</xdr:colOff>
      <xdr:row>7</xdr:row>
      <xdr:rowOff>552450</xdr:rowOff>
    </xdr:to>
    <xdr:pic>
      <xdr:nvPicPr>
        <xdr:cNvPr id="19" name="Рисунок 20" descr="6005.jpg"/>
        <xdr:cNvPicPr preferRelativeResize="1">
          <a:picLocks noChangeAspect="1"/>
        </xdr:cNvPicPr>
      </xdr:nvPicPr>
      <xdr:blipFill>
        <a:blip r:link="rId18"/>
        <a:stretch>
          <a:fillRect/>
        </a:stretch>
      </xdr:blipFill>
      <xdr:spPr>
        <a:xfrm>
          <a:off x="13611225" y="9448800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8</xdr:col>
      <xdr:colOff>409575</xdr:colOff>
      <xdr:row>8</xdr:row>
      <xdr:rowOff>552450</xdr:rowOff>
    </xdr:to>
    <xdr:pic>
      <xdr:nvPicPr>
        <xdr:cNvPr id="20" name="Рисунок 21" descr="9003.jpg"/>
        <xdr:cNvPicPr preferRelativeResize="1">
          <a:picLocks noChangeAspect="1"/>
        </xdr:cNvPicPr>
      </xdr:nvPicPr>
      <xdr:blipFill>
        <a:blip r:link="rId19"/>
        <a:stretch>
          <a:fillRect/>
        </a:stretch>
      </xdr:blipFill>
      <xdr:spPr>
        <a:xfrm>
          <a:off x="10744200" y="10982325"/>
          <a:ext cx="3276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0</xdr:rowOff>
    </xdr:from>
    <xdr:to>
      <xdr:col>9</xdr:col>
      <xdr:colOff>409575</xdr:colOff>
      <xdr:row>8</xdr:row>
      <xdr:rowOff>552450</xdr:rowOff>
    </xdr:to>
    <xdr:pic>
      <xdr:nvPicPr>
        <xdr:cNvPr id="21" name="Рисунок 22" descr="7004.jpg"/>
        <xdr:cNvPicPr preferRelativeResize="1">
          <a:picLocks noChangeAspect="1"/>
        </xdr:cNvPicPr>
      </xdr:nvPicPr>
      <xdr:blipFill>
        <a:blip r:link="rId20"/>
        <a:stretch>
          <a:fillRect/>
        </a:stretch>
      </xdr:blipFill>
      <xdr:spPr>
        <a:xfrm>
          <a:off x="13611225" y="10982325"/>
          <a:ext cx="3505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809625</xdr:rowOff>
    </xdr:from>
    <xdr:to>
      <xdr:col>1</xdr:col>
      <xdr:colOff>3095625</xdr:colOff>
      <xdr:row>7</xdr:row>
      <xdr:rowOff>104775</xdr:rowOff>
    </xdr:to>
    <xdr:pic>
      <xdr:nvPicPr>
        <xdr:cNvPr id="1" name="Рисунок 8" descr="http://vinzh.ru/images/price/pech/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809625"/>
          <a:ext cx="21336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11</xdr:row>
      <xdr:rowOff>9525</xdr:rowOff>
    </xdr:from>
    <xdr:to>
      <xdr:col>1</xdr:col>
      <xdr:colOff>3257550</xdr:colOff>
      <xdr:row>16</xdr:row>
      <xdr:rowOff>219075</xdr:rowOff>
    </xdr:to>
    <xdr:pic>
      <xdr:nvPicPr>
        <xdr:cNvPr id="2" name="Рисунок 9" descr="http://vinzh.ru/images/price/pech/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629025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952500</xdr:colOff>
      <xdr:row>16</xdr:row>
      <xdr:rowOff>209550</xdr:rowOff>
    </xdr:from>
    <xdr:to>
      <xdr:col>1</xdr:col>
      <xdr:colOff>2924175</xdr:colOff>
      <xdr:row>21</xdr:row>
      <xdr:rowOff>0</xdr:rowOff>
    </xdr:to>
    <xdr:pic>
      <xdr:nvPicPr>
        <xdr:cNvPr id="3" name="Рисунок 10" descr="http://vinzh.ru/images/price/pech/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5191125"/>
          <a:ext cx="19716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933450</xdr:colOff>
      <xdr:row>20</xdr:row>
      <xdr:rowOff>514350</xdr:rowOff>
    </xdr:from>
    <xdr:to>
      <xdr:col>1</xdr:col>
      <xdr:colOff>3295650</xdr:colOff>
      <xdr:row>26</xdr:row>
      <xdr:rowOff>104775</xdr:rowOff>
    </xdr:to>
    <xdr:pic>
      <xdr:nvPicPr>
        <xdr:cNvPr id="4" name="Рисунок 11" descr="http://vinzh.ru/images/price/pech/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05075" y="6457950"/>
          <a:ext cx="23622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25</xdr:row>
      <xdr:rowOff>466725</xdr:rowOff>
    </xdr:from>
    <xdr:to>
      <xdr:col>1</xdr:col>
      <xdr:colOff>3371850</xdr:colOff>
      <xdr:row>31</xdr:row>
      <xdr:rowOff>47625</xdr:rowOff>
    </xdr:to>
    <xdr:pic>
      <xdr:nvPicPr>
        <xdr:cNvPr id="5" name="Рисунок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7915275"/>
          <a:ext cx="24669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904875</xdr:colOff>
      <xdr:row>5</xdr:row>
      <xdr:rowOff>609600</xdr:rowOff>
    </xdr:from>
    <xdr:to>
      <xdr:col>1</xdr:col>
      <xdr:colOff>3076575</xdr:colOff>
      <xdr:row>11</xdr:row>
      <xdr:rowOff>9525</xdr:rowOff>
    </xdr:to>
    <xdr:pic>
      <xdr:nvPicPr>
        <xdr:cNvPr id="6" name="Рисунок 13" descr="http://vinzh.ru/images/price/pech/6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0" y="2181225"/>
          <a:ext cx="21717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nzh.ru/katalog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F11"/>
  <sheetViews>
    <sheetView tabSelected="1" zoomScale="85" zoomScaleNormal="85" zoomScalePageLayoutView="0" workbookViewId="0" topLeftCell="A1">
      <selection activeCell="E9" sqref="E9"/>
    </sheetView>
  </sheetViews>
  <sheetFormatPr defaultColWidth="9.140625" defaultRowHeight="15"/>
  <cols>
    <col min="3" max="3" width="75.140625" style="0" customWidth="1"/>
    <col min="4" max="4" width="9.140625" style="0" customWidth="1"/>
    <col min="5" max="5" width="60.7109375" style="0" customWidth="1"/>
    <col min="6" max="8" width="9.140625" style="0" customWidth="1"/>
  </cols>
  <sheetData>
    <row r="1" spans="1:6" ht="15.75">
      <c r="A1" s="165"/>
      <c r="B1" s="166"/>
      <c r="C1" s="167"/>
      <c r="D1" s="174" t="s">
        <v>68</v>
      </c>
      <c r="E1" s="175"/>
      <c r="F1" s="150"/>
    </row>
    <row r="2" spans="1:6" ht="15.75">
      <c r="A2" s="168"/>
      <c r="B2" s="169"/>
      <c r="C2" s="170"/>
      <c r="D2" s="176"/>
      <c r="E2" s="177"/>
      <c r="F2" s="150"/>
    </row>
    <row r="3" spans="1:6" ht="15.75">
      <c r="A3" s="168"/>
      <c r="B3" s="169"/>
      <c r="C3" s="170"/>
      <c r="D3" s="176"/>
      <c r="E3" s="177"/>
      <c r="F3" s="150"/>
    </row>
    <row r="4" spans="1:6" ht="15.75">
      <c r="A4" s="168"/>
      <c r="B4" s="169"/>
      <c r="C4" s="170"/>
      <c r="D4" s="176"/>
      <c r="E4" s="177"/>
      <c r="F4" s="150"/>
    </row>
    <row r="5" spans="1:6" ht="296.25" customHeight="1" thickBot="1">
      <c r="A5" s="171"/>
      <c r="B5" s="172"/>
      <c r="C5" s="173"/>
      <c r="D5" s="178"/>
      <c r="E5" s="179"/>
      <c r="F5" s="150"/>
    </row>
    <row r="7" spans="1:3" ht="15" customHeight="1">
      <c r="A7" s="180" t="s">
        <v>69</v>
      </c>
      <c r="B7" s="180"/>
      <c r="C7" s="180"/>
    </row>
    <row r="8" spans="1:3" ht="15" customHeight="1">
      <c r="A8" s="180"/>
      <c r="B8" s="180"/>
      <c r="C8" s="180"/>
    </row>
    <row r="9" spans="1:5" ht="15" customHeight="1">
      <c r="A9" s="180"/>
      <c r="B9" s="180"/>
      <c r="C9" s="180"/>
      <c r="E9" s="164" t="s">
        <v>70</v>
      </c>
    </row>
    <row r="10" ht="15">
      <c r="C10" s="164"/>
    </row>
    <row r="11" ht="15">
      <c r="C11" s="164"/>
    </row>
  </sheetData>
  <sheetProtection/>
  <mergeCells count="3">
    <mergeCell ref="A1:C5"/>
    <mergeCell ref="D1:E5"/>
    <mergeCell ref="A7:C9"/>
  </mergeCells>
  <hyperlinks>
    <hyperlink ref="E9" r:id="rId1" display="www.vinzh.ru/katalog.html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T52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31.00390625" style="0" customWidth="1"/>
    <col min="2" max="2" width="15.28125" style="0" customWidth="1"/>
    <col min="3" max="3" width="27.57421875" style="0" customWidth="1"/>
  </cols>
  <sheetData>
    <row r="1" spans="1:20" ht="15.75">
      <c r="A1" s="185" t="s">
        <v>12</v>
      </c>
      <c r="B1" s="185"/>
      <c r="C1" s="185"/>
      <c r="D1" s="1"/>
      <c r="E1" s="16"/>
      <c r="F1" s="17"/>
      <c r="G1" s="17"/>
      <c r="H1" s="17"/>
      <c r="I1" s="18"/>
      <c r="J1" s="18"/>
      <c r="K1" s="19"/>
      <c r="L1" s="19"/>
      <c r="M1" s="19"/>
      <c r="N1" s="19"/>
      <c r="O1" s="19"/>
      <c r="P1" s="19"/>
      <c r="Q1" s="19"/>
      <c r="R1" s="19"/>
      <c r="S1" s="19"/>
      <c r="T1" s="20"/>
    </row>
    <row r="2" spans="1:20" ht="15.75" customHeight="1">
      <c r="A2" s="185"/>
      <c r="B2" s="185"/>
      <c r="C2" s="185"/>
      <c r="D2" s="1"/>
      <c r="E2" s="21"/>
      <c r="F2" s="22"/>
      <c r="G2" s="22"/>
      <c r="H2" s="22"/>
      <c r="I2" s="181" t="s">
        <v>18</v>
      </c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23"/>
    </row>
    <row r="3" spans="1:20" ht="32.25" thickBot="1">
      <c r="A3" s="4" t="s">
        <v>0</v>
      </c>
      <c r="B3" s="5" t="s">
        <v>1</v>
      </c>
      <c r="C3" s="2" t="s">
        <v>5</v>
      </c>
      <c r="D3" s="15">
        <f>1.58</f>
        <v>1.58</v>
      </c>
      <c r="E3" s="21"/>
      <c r="F3" s="24"/>
      <c r="G3" s="24"/>
      <c r="H3" s="24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23"/>
    </row>
    <row r="4" spans="1:20" ht="15.75" customHeight="1">
      <c r="A4" s="8" t="s">
        <v>6</v>
      </c>
      <c r="B4" s="9">
        <v>0.45</v>
      </c>
      <c r="C4" s="3">
        <v>720</v>
      </c>
      <c r="D4" s="15">
        <v>2.55</v>
      </c>
      <c r="E4" s="21"/>
      <c r="F4" s="24"/>
      <c r="G4" s="24"/>
      <c r="H4" s="24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23"/>
    </row>
    <row r="5" spans="1:20" ht="25.5">
      <c r="A5" s="10" t="s">
        <v>4</v>
      </c>
      <c r="B5" s="11">
        <v>0.45</v>
      </c>
      <c r="C5" s="6">
        <v>950</v>
      </c>
      <c r="D5" s="1"/>
      <c r="E5" s="21"/>
      <c r="F5" s="24"/>
      <c r="G5" s="24"/>
      <c r="H5" s="24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23"/>
    </row>
    <row r="6" spans="1:20" ht="15">
      <c r="A6" s="10" t="s">
        <v>2</v>
      </c>
      <c r="B6" s="12">
        <v>0.45</v>
      </c>
      <c r="C6" s="6">
        <f>C4*D3</f>
        <v>1137.6000000000001</v>
      </c>
      <c r="D6" s="1"/>
      <c r="E6" s="21"/>
      <c r="F6" s="24"/>
      <c r="G6" s="24"/>
      <c r="H6" s="24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23"/>
    </row>
    <row r="7" spans="1:20" ht="15.75" thickBot="1">
      <c r="A7" s="13" t="s">
        <v>3</v>
      </c>
      <c r="B7" s="14">
        <v>0.45</v>
      </c>
      <c r="C7" s="7">
        <f>C4*D4</f>
        <v>1835.9999999999998</v>
      </c>
      <c r="D7" s="1"/>
      <c r="E7" s="21"/>
      <c r="F7" s="24"/>
      <c r="G7" s="24"/>
      <c r="H7" s="24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23"/>
    </row>
    <row r="8" spans="1:20" ht="15" customHeight="1">
      <c r="A8" s="69" t="s">
        <v>6</v>
      </c>
      <c r="B8" s="70">
        <v>0.5</v>
      </c>
      <c r="C8" s="71">
        <v>750</v>
      </c>
      <c r="D8" s="1"/>
      <c r="E8" s="21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3"/>
    </row>
    <row r="9" spans="1:20" ht="25.5" customHeight="1">
      <c r="A9" s="72" t="s">
        <v>4</v>
      </c>
      <c r="B9" s="73">
        <v>0.5</v>
      </c>
      <c r="C9" s="74">
        <v>990</v>
      </c>
      <c r="D9" s="1"/>
      <c r="E9" s="21"/>
      <c r="F9" s="25"/>
      <c r="G9" s="25"/>
      <c r="H9" s="25"/>
      <c r="I9" s="183" t="s">
        <v>8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23"/>
    </row>
    <row r="10" spans="1:20" ht="15.75" customHeight="1" thickBot="1">
      <c r="A10" s="72" t="s">
        <v>2</v>
      </c>
      <c r="B10" s="75">
        <v>0.5</v>
      </c>
      <c r="C10" s="74">
        <f>C8*D3</f>
        <v>1185</v>
      </c>
      <c r="D10" s="1"/>
      <c r="E10" s="21"/>
      <c r="F10" s="24"/>
      <c r="G10" s="24"/>
      <c r="H10" s="22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23"/>
    </row>
    <row r="11" spans="1:20" ht="26.25" thickBot="1">
      <c r="A11" s="76" t="s">
        <v>3</v>
      </c>
      <c r="B11" s="77">
        <v>0.5</v>
      </c>
      <c r="C11" s="78">
        <f>C8*D4</f>
        <v>1912.4999999999998</v>
      </c>
      <c r="D11" s="1"/>
      <c r="E11" s="21"/>
      <c r="F11" s="40" t="s">
        <v>7</v>
      </c>
      <c r="G11" s="41">
        <v>100</v>
      </c>
      <c r="H11" s="42">
        <v>150</v>
      </c>
      <c r="I11" s="42">
        <v>200</v>
      </c>
      <c r="J11" s="43">
        <v>250</v>
      </c>
      <c r="K11" s="41">
        <v>300</v>
      </c>
      <c r="L11" s="42">
        <v>350</v>
      </c>
      <c r="M11" s="42">
        <v>400</v>
      </c>
      <c r="N11" s="42">
        <v>500</v>
      </c>
      <c r="O11" s="42">
        <v>600</v>
      </c>
      <c r="P11" s="42">
        <v>700</v>
      </c>
      <c r="Q11" s="42">
        <v>800</v>
      </c>
      <c r="R11" s="42">
        <v>900</v>
      </c>
      <c r="S11" s="44">
        <v>1000</v>
      </c>
      <c r="T11" s="23"/>
    </row>
    <row r="12" spans="1:20" ht="15">
      <c r="A12" s="89" t="s">
        <v>6</v>
      </c>
      <c r="B12" s="90">
        <v>0.55</v>
      </c>
      <c r="C12" s="91">
        <v>780</v>
      </c>
      <c r="D12" s="1"/>
      <c r="E12" s="21"/>
      <c r="F12" s="36">
        <v>100</v>
      </c>
      <c r="G12" s="37">
        <v>0.19</v>
      </c>
      <c r="H12" s="38">
        <v>0.22</v>
      </c>
      <c r="I12" s="38">
        <v>0.33</v>
      </c>
      <c r="J12" s="38">
        <v>0.41</v>
      </c>
      <c r="K12" s="38"/>
      <c r="L12" s="38"/>
      <c r="M12" s="38"/>
      <c r="N12" s="38"/>
      <c r="O12" s="38"/>
      <c r="P12" s="38"/>
      <c r="Q12" s="38"/>
      <c r="R12" s="39"/>
      <c r="S12" s="39"/>
      <c r="T12" s="23"/>
    </row>
    <row r="13" spans="1:20" ht="25.5">
      <c r="A13" s="92" t="s">
        <v>4</v>
      </c>
      <c r="B13" s="93">
        <v>0.55</v>
      </c>
      <c r="C13" s="94">
        <v>1020</v>
      </c>
      <c r="D13" s="1"/>
      <c r="E13" s="21"/>
      <c r="F13" s="34">
        <v>150</v>
      </c>
      <c r="G13" s="33">
        <v>0.22</v>
      </c>
      <c r="H13" s="32">
        <v>0.2</v>
      </c>
      <c r="I13" s="31">
        <v>0.37</v>
      </c>
      <c r="J13" s="31">
        <v>0.46</v>
      </c>
      <c r="K13" s="31">
        <v>0.56</v>
      </c>
      <c r="L13" s="31">
        <v>0.66</v>
      </c>
      <c r="M13" s="31">
        <v>0.78</v>
      </c>
      <c r="N13" s="31"/>
      <c r="O13" s="31"/>
      <c r="P13" s="31"/>
      <c r="Q13" s="31"/>
      <c r="R13" s="31"/>
      <c r="S13" s="31"/>
      <c r="T13" s="23"/>
    </row>
    <row r="14" spans="1:20" ht="15">
      <c r="A14" s="92" t="s">
        <v>2</v>
      </c>
      <c r="B14" s="95">
        <v>0.55</v>
      </c>
      <c r="C14" s="94">
        <f>C12*D3</f>
        <v>1232.4</v>
      </c>
      <c r="D14" s="1"/>
      <c r="E14" s="21"/>
      <c r="F14" s="34">
        <v>200</v>
      </c>
      <c r="G14" s="33">
        <v>0.26</v>
      </c>
      <c r="H14" s="31">
        <v>0.33</v>
      </c>
      <c r="I14" s="32">
        <v>0.41</v>
      </c>
      <c r="J14" s="31">
        <v>0.51</v>
      </c>
      <c r="K14" s="31">
        <v>0.61</v>
      </c>
      <c r="L14" s="31">
        <v>0.72</v>
      </c>
      <c r="M14" s="31">
        <v>0.84</v>
      </c>
      <c r="N14" s="31">
        <v>1.11</v>
      </c>
      <c r="O14" s="31">
        <v>1.42</v>
      </c>
      <c r="P14" s="31"/>
      <c r="Q14" s="31"/>
      <c r="R14" s="31"/>
      <c r="S14" s="31"/>
      <c r="T14" s="23"/>
    </row>
    <row r="15" spans="1:20" ht="15.75" thickBot="1">
      <c r="A15" s="96" t="s">
        <v>3</v>
      </c>
      <c r="B15" s="97">
        <v>0.55</v>
      </c>
      <c r="C15" s="98">
        <f>C12*D4</f>
        <v>1988.9999999999998</v>
      </c>
      <c r="D15" s="1"/>
      <c r="E15" s="21"/>
      <c r="F15" s="34">
        <v>250</v>
      </c>
      <c r="G15" s="33">
        <v>0.29</v>
      </c>
      <c r="H15" s="31">
        <v>0.37</v>
      </c>
      <c r="I15" s="31">
        <v>0.46</v>
      </c>
      <c r="J15" s="32">
        <v>0.55</v>
      </c>
      <c r="K15" s="31">
        <v>0.66</v>
      </c>
      <c r="L15" s="31">
        <v>0.78</v>
      </c>
      <c r="M15" s="31">
        <v>0.9</v>
      </c>
      <c r="N15" s="31">
        <v>1.18</v>
      </c>
      <c r="O15" s="31">
        <v>1.5</v>
      </c>
      <c r="P15" s="31">
        <v>1.86</v>
      </c>
      <c r="Q15" s="31">
        <v>2.25</v>
      </c>
      <c r="R15" s="31">
        <v>2.68</v>
      </c>
      <c r="S15" s="31">
        <v>3.15</v>
      </c>
      <c r="T15" s="23"/>
    </row>
    <row r="16" spans="1:20" ht="15">
      <c r="A16" s="56" t="s">
        <v>6</v>
      </c>
      <c r="B16" s="64">
        <v>0.7</v>
      </c>
      <c r="C16" s="57">
        <v>870</v>
      </c>
      <c r="D16" s="1"/>
      <c r="E16" s="21"/>
      <c r="F16" s="34">
        <v>300</v>
      </c>
      <c r="G16" s="33">
        <v>0.32</v>
      </c>
      <c r="H16" s="31">
        <v>0.41</v>
      </c>
      <c r="I16" s="31">
        <v>0.5</v>
      </c>
      <c r="J16" s="31">
        <v>0.6</v>
      </c>
      <c r="K16" s="32">
        <v>0.71</v>
      </c>
      <c r="L16" s="31">
        <v>0.83</v>
      </c>
      <c r="M16" s="31">
        <v>0.96</v>
      </c>
      <c r="N16" s="31">
        <v>1.25</v>
      </c>
      <c r="O16" s="31">
        <v>1.58</v>
      </c>
      <c r="P16" s="31">
        <v>1.95</v>
      </c>
      <c r="Q16" s="31">
        <v>2.35</v>
      </c>
      <c r="R16" s="31">
        <v>2.79</v>
      </c>
      <c r="S16" s="31">
        <v>3.27</v>
      </c>
      <c r="T16" s="23"/>
    </row>
    <row r="17" spans="1:20" ht="25.5">
      <c r="A17" s="58" t="s">
        <v>4</v>
      </c>
      <c r="B17" s="60">
        <v>0.7</v>
      </c>
      <c r="C17" s="59">
        <v>1200</v>
      </c>
      <c r="D17" s="1"/>
      <c r="E17" s="21"/>
      <c r="F17" s="34">
        <v>350</v>
      </c>
      <c r="G17" s="33">
        <v>0.36</v>
      </c>
      <c r="H17" s="31">
        <v>0.44</v>
      </c>
      <c r="I17" s="31">
        <v>0.54</v>
      </c>
      <c r="J17" s="31">
        <v>0.65</v>
      </c>
      <c r="K17" s="31">
        <v>0.77</v>
      </c>
      <c r="L17" s="32">
        <v>0.89</v>
      </c>
      <c r="M17" s="31">
        <v>1.03</v>
      </c>
      <c r="N17" s="31">
        <v>1.33</v>
      </c>
      <c r="O17" s="31">
        <v>1.66</v>
      </c>
      <c r="P17" s="31">
        <v>2.04</v>
      </c>
      <c r="Q17" s="31">
        <v>2.45</v>
      </c>
      <c r="R17" s="31">
        <v>2.9</v>
      </c>
      <c r="S17" s="31">
        <v>3.39</v>
      </c>
      <c r="T17" s="23"/>
    </row>
    <row r="18" spans="1:20" ht="15">
      <c r="A18" s="58" t="s">
        <v>2</v>
      </c>
      <c r="B18" s="60">
        <v>0.7</v>
      </c>
      <c r="C18" s="59">
        <f>C16*D3</f>
        <v>1374.6000000000001</v>
      </c>
      <c r="D18" s="1"/>
      <c r="E18" s="21"/>
      <c r="F18" s="34">
        <v>400</v>
      </c>
      <c r="G18" s="33"/>
      <c r="H18" s="31">
        <v>0.48</v>
      </c>
      <c r="I18" s="31">
        <v>0.58</v>
      </c>
      <c r="J18" s="31">
        <v>0.7</v>
      </c>
      <c r="K18" s="31">
        <v>0.82</v>
      </c>
      <c r="L18" s="31">
        <v>0.95</v>
      </c>
      <c r="M18" s="32">
        <v>1.09</v>
      </c>
      <c r="N18" s="31">
        <v>1.4</v>
      </c>
      <c r="O18" s="31">
        <v>1.74</v>
      </c>
      <c r="P18" s="31">
        <v>2.13</v>
      </c>
      <c r="Q18" s="31">
        <v>2.55</v>
      </c>
      <c r="R18" s="31">
        <v>3.01</v>
      </c>
      <c r="S18" s="31">
        <v>3.5</v>
      </c>
      <c r="T18" s="23"/>
    </row>
    <row r="19" spans="1:20" ht="15.75" thickBot="1">
      <c r="A19" s="61" t="s">
        <v>3</v>
      </c>
      <c r="B19" s="62">
        <v>0.7</v>
      </c>
      <c r="C19" s="63">
        <f>C16*D4</f>
        <v>2218.5</v>
      </c>
      <c r="D19" s="1"/>
      <c r="E19" s="21"/>
      <c r="F19" s="34">
        <v>500</v>
      </c>
      <c r="G19" s="33"/>
      <c r="H19" s="31"/>
      <c r="I19" s="31">
        <v>0.67</v>
      </c>
      <c r="J19" s="31">
        <v>0.79</v>
      </c>
      <c r="K19" s="31">
        <v>0.92</v>
      </c>
      <c r="L19" s="31">
        <v>1.06</v>
      </c>
      <c r="M19" s="31">
        <v>1.21</v>
      </c>
      <c r="N19" s="32">
        <v>1.54</v>
      </c>
      <c r="O19" s="31">
        <v>1.9</v>
      </c>
      <c r="P19" s="31">
        <v>2.31</v>
      </c>
      <c r="Q19" s="31">
        <v>2.75</v>
      </c>
      <c r="R19" s="31">
        <v>3.23</v>
      </c>
      <c r="S19" s="31">
        <v>3.74</v>
      </c>
      <c r="T19" s="23"/>
    </row>
    <row r="20" spans="1:20" ht="15">
      <c r="A20" s="79" t="s">
        <v>6</v>
      </c>
      <c r="B20" s="107">
        <v>1</v>
      </c>
      <c r="C20" s="81">
        <v>1070</v>
      </c>
      <c r="D20" s="1"/>
      <c r="E20" s="21"/>
      <c r="F20" s="34">
        <v>600</v>
      </c>
      <c r="G20" s="33"/>
      <c r="H20" s="31"/>
      <c r="I20" s="31">
        <v>0.76</v>
      </c>
      <c r="J20" s="31">
        <v>0.89</v>
      </c>
      <c r="K20" s="31">
        <v>1.03</v>
      </c>
      <c r="L20" s="31">
        <v>1.18</v>
      </c>
      <c r="M20" s="31">
        <v>1.34</v>
      </c>
      <c r="N20" s="31">
        <v>1.68</v>
      </c>
      <c r="O20" s="32">
        <v>2.07</v>
      </c>
      <c r="P20" s="31">
        <v>2.49</v>
      </c>
      <c r="Q20" s="31">
        <v>2.95</v>
      </c>
      <c r="R20" s="31">
        <v>3.44</v>
      </c>
      <c r="S20" s="31">
        <v>3.98</v>
      </c>
      <c r="T20" s="23"/>
    </row>
    <row r="21" spans="1:20" ht="25.5">
      <c r="A21" s="82" t="s">
        <v>4</v>
      </c>
      <c r="B21" s="108">
        <v>1</v>
      </c>
      <c r="C21" s="84">
        <v>1300</v>
      </c>
      <c r="D21" s="1"/>
      <c r="E21" s="21"/>
      <c r="F21" s="34">
        <v>700</v>
      </c>
      <c r="G21" s="33"/>
      <c r="H21" s="31"/>
      <c r="I21" s="31"/>
      <c r="J21" s="31">
        <v>0.98</v>
      </c>
      <c r="K21" s="31">
        <v>1.13</v>
      </c>
      <c r="L21" s="31">
        <v>1.29</v>
      </c>
      <c r="M21" s="31">
        <v>1.46</v>
      </c>
      <c r="N21" s="31">
        <v>1.82</v>
      </c>
      <c r="O21" s="31">
        <v>2.23</v>
      </c>
      <c r="P21" s="32">
        <v>2.67</v>
      </c>
      <c r="Q21" s="31">
        <v>3.14</v>
      </c>
      <c r="R21" s="31">
        <v>3.66</v>
      </c>
      <c r="S21" s="31">
        <v>4.21</v>
      </c>
      <c r="T21" s="23"/>
    </row>
    <row r="22" spans="1:20" ht="15">
      <c r="A22" s="82" t="s">
        <v>2</v>
      </c>
      <c r="B22" s="108">
        <v>1</v>
      </c>
      <c r="C22" s="84">
        <f>1580</f>
        <v>1580</v>
      </c>
      <c r="D22" s="1"/>
      <c r="E22" s="21"/>
      <c r="F22" s="34">
        <v>800</v>
      </c>
      <c r="G22" s="33"/>
      <c r="H22" s="31"/>
      <c r="I22" s="31"/>
      <c r="J22" s="31">
        <v>1.08</v>
      </c>
      <c r="K22" s="31">
        <v>1.24</v>
      </c>
      <c r="L22" s="31">
        <v>1.4</v>
      </c>
      <c r="M22" s="31">
        <v>1.58</v>
      </c>
      <c r="N22" s="31">
        <v>1.97</v>
      </c>
      <c r="O22" s="31">
        <v>2.39</v>
      </c>
      <c r="P22" s="31">
        <v>2.85</v>
      </c>
      <c r="Q22" s="32">
        <v>3.34</v>
      </c>
      <c r="R22" s="31">
        <v>3.88</v>
      </c>
      <c r="S22" s="31">
        <v>4.45</v>
      </c>
      <c r="T22" s="23"/>
    </row>
    <row r="23" spans="1:20" ht="15.75" thickBot="1">
      <c r="A23" s="86" t="s">
        <v>3</v>
      </c>
      <c r="B23" s="109">
        <v>1</v>
      </c>
      <c r="C23" s="88">
        <f>2650</f>
        <v>2650</v>
      </c>
      <c r="D23" s="1"/>
      <c r="E23" s="21"/>
      <c r="F23" s="34">
        <v>900</v>
      </c>
      <c r="G23" s="33"/>
      <c r="H23" s="31"/>
      <c r="I23" s="31"/>
      <c r="J23" s="31">
        <v>1.17</v>
      </c>
      <c r="K23" s="31">
        <v>1.34</v>
      </c>
      <c r="L23" s="31">
        <v>1.52</v>
      </c>
      <c r="M23" s="31">
        <v>1.71</v>
      </c>
      <c r="N23" s="31">
        <v>2.11</v>
      </c>
      <c r="O23" s="31">
        <v>2.55</v>
      </c>
      <c r="P23" s="31">
        <v>3.03</v>
      </c>
      <c r="Q23" s="31">
        <v>3.54</v>
      </c>
      <c r="R23" s="32">
        <v>4.1</v>
      </c>
      <c r="S23" s="31">
        <v>4.69</v>
      </c>
      <c r="T23" s="23"/>
    </row>
    <row r="24" spans="4:20" ht="15.75" thickBot="1">
      <c r="D24" s="1"/>
      <c r="E24" s="26"/>
      <c r="F24" s="35">
        <v>1000</v>
      </c>
      <c r="G24" s="33"/>
      <c r="H24" s="31"/>
      <c r="I24" s="31"/>
      <c r="J24" s="31">
        <v>1.27</v>
      </c>
      <c r="K24" s="31">
        <v>1.44</v>
      </c>
      <c r="L24" s="31">
        <v>1.63</v>
      </c>
      <c r="M24" s="31">
        <v>1.83</v>
      </c>
      <c r="N24" s="31">
        <v>2.25</v>
      </c>
      <c r="O24" s="31">
        <v>2.71</v>
      </c>
      <c r="P24" s="31">
        <v>3.21</v>
      </c>
      <c r="Q24" s="31">
        <v>3.74</v>
      </c>
      <c r="R24" s="31">
        <v>4.31</v>
      </c>
      <c r="S24" s="32">
        <v>4.92</v>
      </c>
      <c r="T24" s="23"/>
    </row>
    <row r="25" spans="4:20" ht="15.75" thickBot="1">
      <c r="D25" s="1"/>
      <c r="E25" s="27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</row>
    <row r="26" spans="1:3" ht="15">
      <c r="A26" s="186" t="s">
        <v>21</v>
      </c>
      <c r="B26" s="187"/>
      <c r="C26" s="187"/>
    </row>
    <row r="27" spans="1:3" ht="15.75" thickBot="1">
      <c r="A27" s="187"/>
      <c r="B27" s="187"/>
      <c r="C27" s="187"/>
    </row>
    <row r="28" spans="1:20" ht="15.75">
      <c r="A28" s="187"/>
      <c r="B28" s="187"/>
      <c r="C28" s="187"/>
      <c r="E28" s="16"/>
      <c r="F28" s="17"/>
      <c r="G28" s="17"/>
      <c r="H28" s="17"/>
      <c r="I28" s="18"/>
      <c r="J28" s="18"/>
      <c r="K28" s="19"/>
      <c r="L28" s="19"/>
      <c r="M28" s="19"/>
      <c r="N28" s="19"/>
      <c r="O28" s="19"/>
      <c r="P28" s="19"/>
      <c r="Q28" s="19"/>
      <c r="R28" s="19"/>
      <c r="S28" s="19"/>
      <c r="T28" s="20"/>
    </row>
    <row r="29" spans="1:20" ht="24.75" customHeight="1">
      <c r="A29" s="187"/>
      <c r="B29" s="187"/>
      <c r="C29" s="187"/>
      <c r="E29" s="21"/>
      <c r="F29" s="22"/>
      <c r="G29" s="22"/>
      <c r="H29" s="22"/>
      <c r="I29" s="181" t="s">
        <v>17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23"/>
    </row>
    <row r="30" spans="5:20" ht="15">
      <c r="E30" s="21"/>
      <c r="F30" s="24"/>
      <c r="G30" s="24"/>
      <c r="H30" s="24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23"/>
    </row>
    <row r="31" spans="5:20" ht="15">
      <c r="E31" s="21"/>
      <c r="F31" s="24"/>
      <c r="G31" s="24"/>
      <c r="H31" s="24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23"/>
    </row>
    <row r="32" spans="5:20" ht="15">
      <c r="E32" s="21"/>
      <c r="F32" s="24"/>
      <c r="G32" s="24"/>
      <c r="H32" s="24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23"/>
    </row>
    <row r="33" spans="5:20" ht="15">
      <c r="E33" s="21"/>
      <c r="F33" s="24"/>
      <c r="G33" s="24"/>
      <c r="H33" s="24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23"/>
    </row>
    <row r="34" spans="5:20" ht="51.75" customHeight="1">
      <c r="E34" s="21"/>
      <c r="F34" s="24"/>
      <c r="G34" s="24"/>
      <c r="H34" s="24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23"/>
    </row>
    <row r="35" spans="5:20" ht="30" customHeight="1">
      <c r="E35" s="21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3"/>
    </row>
    <row r="36" spans="5:20" ht="15">
      <c r="E36" s="21"/>
      <c r="F36" s="25"/>
      <c r="G36" s="25"/>
      <c r="H36" s="25"/>
      <c r="I36" s="183" t="s">
        <v>9</v>
      </c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23"/>
    </row>
    <row r="37" spans="5:20" ht="35.25" customHeight="1" thickBot="1">
      <c r="E37" s="21"/>
      <c r="F37" s="24"/>
      <c r="G37" s="24"/>
      <c r="H37" s="22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23"/>
    </row>
    <row r="38" spans="5:20" ht="26.25" thickBot="1">
      <c r="E38" s="21"/>
      <c r="F38" s="40" t="s">
        <v>7</v>
      </c>
      <c r="G38" s="41">
        <v>100</v>
      </c>
      <c r="H38" s="42">
        <v>150</v>
      </c>
      <c r="I38" s="42">
        <v>200</v>
      </c>
      <c r="J38" s="43">
        <v>250</v>
      </c>
      <c r="K38" s="41">
        <v>300</v>
      </c>
      <c r="L38" s="42">
        <v>350</v>
      </c>
      <c r="M38" s="42">
        <v>400</v>
      </c>
      <c r="N38" s="42">
        <v>500</v>
      </c>
      <c r="O38" s="42">
        <v>600</v>
      </c>
      <c r="P38" s="42">
        <v>700</v>
      </c>
      <c r="Q38" s="42">
        <v>800</v>
      </c>
      <c r="R38" s="42">
        <v>900</v>
      </c>
      <c r="S38" s="44">
        <v>1000</v>
      </c>
      <c r="T38" s="23"/>
    </row>
    <row r="39" spans="5:20" ht="15">
      <c r="E39" s="68"/>
      <c r="F39" s="45">
        <v>100</v>
      </c>
      <c r="G39" s="46">
        <f>0.19*0.75</f>
        <v>0.14250000000000002</v>
      </c>
      <c r="H39" s="47">
        <f>0.75*0.22</f>
        <v>0.165</v>
      </c>
      <c r="I39" s="47">
        <f>0.75*0.33</f>
        <v>0.2475</v>
      </c>
      <c r="J39" s="47">
        <f>0.75*0.41</f>
        <v>0.3075</v>
      </c>
      <c r="K39" s="47"/>
      <c r="L39" s="47"/>
      <c r="M39" s="47"/>
      <c r="N39" s="47"/>
      <c r="O39" s="47"/>
      <c r="P39" s="47"/>
      <c r="Q39" s="47"/>
      <c r="R39" s="47"/>
      <c r="S39" s="48"/>
      <c r="T39" s="23"/>
    </row>
    <row r="40" spans="5:20" ht="15">
      <c r="E40" s="21"/>
      <c r="F40" s="34">
        <v>150</v>
      </c>
      <c r="G40" s="49">
        <f>0.22*0.75</f>
        <v>0.165</v>
      </c>
      <c r="H40" s="50">
        <f>0.75*0.2</f>
        <v>0.15000000000000002</v>
      </c>
      <c r="I40" s="51">
        <f>0.75*0.37</f>
        <v>0.27749999999999997</v>
      </c>
      <c r="J40" s="51">
        <f>0.75*0.46</f>
        <v>0.34500000000000003</v>
      </c>
      <c r="K40" s="51">
        <f>0.75*0.56</f>
        <v>0.42000000000000004</v>
      </c>
      <c r="L40" s="51">
        <f>0.75*0.66</f>
        <v>0.495</v>
      </c>
      <c r="M40" s="51">
        <f>0.75*0.78</f>
        <v>0.585</v>
      </c>
      <c r="N40" s="51"/>
      <c r="O40" s="51"/>
      <c r="P40" s="51"/>
      <c r="Q40" s="51"/>
      <c r="R40" s="51"/>
      <c r="S40" s="52"/>
      <c r="T40" s="23"/>
    </row>
    <row r="41" spans="5:20" ht="15">
      <c r="E41" s="21"/>
      <c r="F41" s="34">
        <v>200</v>
      </c>
      <c r="G41" s="49">
        <f>0.075*0.26</f>
        <v>0.0195</v>
      </c>
      <c r="H41" s="51">
        <f>0.75*0.33</f>
        <v>0.2475</v>
      </c>
      <c r="I41" s="50">
        <f>0.75*0.41</f>
        <v>0.3075</v>
      </c>
      <c r="J41" s="51">
        <f>0.75*0.51</f>
        <v>0.3825</v>
      </c>
      <c r="K41" s="51">
        <f>0.75*0.61</f>
        <v>0.4575</v>
      </c>
      <c r="L41" s="51">
        <f>0.75*0.72</f>
        <v>0.54</v>
      </c>
      <c r="M41" s="51">
        <f>0.75*0.84</f>
        <v>0.63</v>
      </c>
      <c r="N41" s="51">
        <f>0.75*1.11</f>
        <v>0.8325</v>
      </c>
      <c r="O41" s="51">
        <f>0.75*1.42</f>
        <v>1.065</v>
      </c>
      <c r="P41" s="51"/>
      <c r="Q41" s="51"/>
      <c r="R41" s="51"/>
      <c r="S41" s="52"/>
      <c r="T41" s="23"/>
    </row>
    <row r="42" spans="5:20" ht="15">
      <c r="E42" s="21"/>
      <c r="F42" s="34">
        <v>250</v>
      </c>
      <c r="G42" s="49">
        <f>0.75*0.29</f>
        <v>0.21749999999999997</v>
      </c>
      <c r="H42" s="51">
        <f>0.75*0.37</f>
        <v>0.27749999999999997</v>
      </c>
      <c r="I42" s="51">
        <f>0.75*0.46</f>
        <v>0.34500000000000003</v>
      </c>
      <c r="J42" s="50">
        <f>0.75*0.55</f>
        <v>0.41250000000000003</v>
      </c>
      <c r="K42" s="51">
        <f>0.75*0.66</f>
        <v>0.495</v>
      </c>
      <c r="L42" s="51">
        <f>0.75*0.78</f>
        <v>0.585</v>
      </c>
      <c r="M42" s="51">
        <f>0.75*0.9</f>
        <v>0.675</v>
      </c>
      <c r="N42" s="51">
        <f>0.75*1.18</f>
        <v>0.885</v>
      </c>
      <c r="O42" s="51">
        <f>0.75*1.5</f>
        <v>1.125</v>
      </c>
      <c r="P42" s="51">
        <f>0.75*1.86</f>
        <v>1.395</v>
      </c>
      <c r="Q42" s="51">
        <f>0.75*2.25</f>
        <v>1.6875</v>
      </c>
      <c r="R42" s="51">
        <f>0.75*2.68</f>
        <v>2.0100000000000002</v>
      </c>
      <c r="S42" s="52">
        <f>0.75*3.15</f>
        <v>2.3625</v>
      </c>
      <c r="T42" s="23"/>
    </row>
    <row r="43" spans="5:20" ht="15">
      <c r="E43" s="21"/>
      <c r="F43" s="34">
        <v>300</v>
      </c>
      <c r="G43" s="49">
        <f>0.75*0.32</f>
        <v>0.24</v>
      </c>
      <c r="H43" s="51">
        <f>0.75*0.41</f>
        <v>0.3075</v>
      </c>
      <c r="I43" s="51">
        <f>0.75*0.5</f>
        <v>0.375</v>
      </c>
      <c r="J43" s="51">
        <f>0.75*0.6</f>
        <v>0.44999999999999996</v>
      </c>
      <c r="K43" s="50">
        <v>0.71</v>
      </c>
      <c r="L43" s="51">
        <f>0.75*0.83</f>
        <v>0.6224999999999999</v>
      </c>
      <c r="M43" s="51">
        <f>0.75*0.96</f>
        <v>0.72</v>
      </c>
      <c r="N43" s="51">
        <f>0.75*1.25</f>
        <v>0.9375</v>
      </c>
      <c r="O43" s="51">
        <f>0.75*1.58</f>
        <v>1.185</v>
      </c>
      <c r="P43" s="51">
        <f>0.75*1.95</f>
        <v>1.4625</v>
      </c>
      <c r="Q43" s="51">
        <f>0.75*2.35</f>
        <v>1.7625000000000002</v>
      </c>
      <c r="R43" s="51">
        <f>0.75*2.79</f>
        <v>2.0925000000000002</v>
      </c>
      <c r="S43" s="52">
        <f>0.75*3.27</f>
        <v>2.4525</v>
      </c>
      <c r="T43" s="23"/>
    </row>
    <row r="44" spans="5:20" ht="15">
      <c r="E44" s="21"/>
      <c r="F44" s="34">
        <v>350</v>
      </c>
      <c r="G44" s="49">
        <f>0.75*0.36</f>
        <v>0.27</v>
      </c>
      <c r="H44" s="51">
        <f>0.75*0.44</f>
        <v>0.33</v>
      </c>
      <c r="I44" s="51">
        <f>0.75*0.54</f>
        <v>0.405</v>
      </c>
      <c r="J44" s="51">
        <f>0.75*0.65</f>
        <v>0.48750000000000004</v>
      </c>
      <c r="K44" s="51">
        <f>0.75*0.77</f>
        <v>0.5775</v>
      </c>
      <c r="L44" s="50">
        <f>0.75*0.89</f>
        <v>0.6675</v>
      </c>
      <c r="M44" s="51">
        <f>0.75*1.03</f>
        <v>0.7725</v>
      </c>
      <c r="N44" s="51">
        <f>0.75*1.33</f>
        <v>0.9975</v>
      </c>
      <c r="O44" s="51">
        <f>0.75*1.66</f>
        <v>1.2449999999999999</v>
      </c>
      <c r="P44" s="51">
        <f>0.75*2.04</f>
        <v>1.53</v>
      </c>
      <c r="Q44" s="51">
        <f>0.75*2.45</f>
        <v>1.8375000000000001</v>
      </c>
      <c r="R44" s="51">
        <f>0.75*2.9</f>
        <v>2.175</v>
      </c>
      <c r="S44" s="52">
        <f>0.75*3.39</f>
        <v>2.5425</v>
      </c>
      <c r="T44" s="23"/>
    </row>
    <row r="45" spans="5:20" ht="15">
      <c r="E45" s="21"/>
      <c r="F45" s="34">
        <v>400</v>
      </c>
      <c r="G45" s="49"/>
      <c r="H45" s="51">
        <f>0.75*0.48</f>
        <v>0.36</v>
      </c>
      <c r="I45" s="51">
        <f>0.75*0.58</f>
        <v>0.43499999999999994</v>
      </c>
      <c r="J45" s="51">
        <f>0.75*0.7</f>
        <v>0.5249999999999999</v>
      </c>
      <c r="K45" s="51">
        <f>0.75*0.82</f>
        <v>0.615</v>
      </c>
      <c r="L45" s="51">
        <f>0.75*0.95</f>
        <v>0.7124999999999999</v>
      </c>
      <c r="M45" s="50">
        <f>0.75*1.09</f>
        <v>0.8175000000000001</v>
      </c>
      <c r="N45" s="51">
        <f>0.75*1.4</f>
        <v>1.0499999999999998</v>
      </c>
      <c r="O45" s="51">
        <v>1.74</v>
      </c>
      <c r="P45" s="51">
        <f>0.75*2.13</f>
        <v>1.5975</v>
      </c>
      <c r="Q45" s="51">
        <f>0.75*2.55</f>
        <v>1.9124999999999999</v>
      </c>
      <c r="R45" s="51">
        <f>0.75*3.01</f>
        <v>2.2575</v>
      </c>
      <c r="S45" s="52">
        <f>0.75*3.5</f>
        <v>2.625</v>
      </c>
      <c r="T45" s="23"/>
    </row>
    <row r="46" spans="5:20" ht="15">
      <c r="E46" s="21"/>
      <c r="F46" s="34">
        <v>500</v>
      </c>
      <c r="G46" s="49"/>
      <c r="H46" s="51"/>
      <c r="I46" s="51">
        <f>0.75*0.67</f>
        <v>0.5025000000000001</v>
      </c>
      <c r="J46" s="51">
        <f>0.75*0.79</f>
        <v>0.5925</v>
      </c>
      <c r="K46" s="51">
        <v>0.92</v>
      </c>
      <c r="L46" s="51">
        <f>0.75*1.06</f>
        <v>0.795</v>
      </c>
      <c r="M46" s="51">
        <f>0.75*1.21</f>
        <v>0.9075</v>
      </c>
      <c r="N46" s="50">
        <f>0.75*1.54</f>
        <v>1.155</v>
      </c>
      <c r="O46" s="51">
        <f>0.75*1.9</f>
        <v>1.4249999999999998</v>
      </c>
      <c r="P46" s="51">
        <f>0.75*2.31</f>
        <v>1.7325</v>
      </c>
      <c r="Q46" s="51">
        <f>0.75*2.75</f>
        <v>2.0625</v>
      </c>
      <c r="R46" s="51">
        <f>0.75*3.23</f>
        <v>2.4225</v>
      </c>
      <c r="S46" s="52">
        <f>0.75*3.74</f>
        <v>2.805</v>
      </c>
      <c r="T46" s="23"/>
    </row>
    <row r="47" spans="5:20" ht="15">
      <c r="E47" s="21"/>
      <c r="F47" s="34">
        <v>600</v>
      </c>
      <c r="G47" s="49"/>
      <c r="H47" s="51"/>
      <c r="I47" s="51">
        <f>0.75*0.76</f>
        <v>0.5700000000000001</v>
      </c>
      <c r="J47" s="51">
        <f>0.75*0.89</f>
        <v>0.6675</v>
      </c>
      <c r="K47" s="51">
        <f>0.75*1.03</f>
        <v>0.7725</v>
      </c>
      <c r="L47" s="51">
        <f>0.75*1.18</f>
        <v>0.885</v>
      </c>
      <c r="M47" s="51">
        <f>0.75*1.34</f>
        <v>1.0050000000000001</v>
      </c>
      <c r="N47" s="51">
        <f>0.75*1.68</f>
        <v>1.26</v>
      </c>
      <c r="O47" s="50">
        <f>0.75*2.07</f>
        <v>1.5524999999999998</v>
      </c>
      <c r="P47" s="51">
        <f>0.75*2.49</f>
        <v>1.8675000000000002</v>
      </c>
      <c r="Q47" s="51">
        <f>0.75*2.95</f>
        <v>2.2125000000000004</v>
      </c>
      <c r="R47" s="51">
        <f>0.75*3.44</f>
        <v>2.58</v>
      </c>
      <c r="S47" s="52">
        <f>0.75*3.98</f>
        <v>2.985</v>
      </c>
      <c r="T47" s="23"/>
    </row>
    <row r="48" spans="5:20" ht="15">
      <c r="E48" s="21"/>
      <c r="F48" s="34">
        <v>700</v>
      </c>
      <c r="G48" s="49"/>
      <c r="H48" s="51"/>
      <c r="I48" s="51"/>
      <c r="J48" s="51">
        <f>0.75*0.98</f>
        <v>0.735</v>
      </c>
      <c r="K48" s="51">
        <f>0.75*1.13</f>
        <v>0.8474999999999999</v>
      </c>
      <c r="L48" s="51">
        <f>0.75*1.29</f>
        <v>0.9675</v>
      </c>
      <c r="M48" s="51">
        <f>0.75*1.46</f>
        <v>1.095</v>
      </c>
      <c r="N48" s="51">
        <f>0.75*1.82</f>
        <v>1.365</v>
      </c>
      <c r="O48" s="51">
        <f>0.75*2.23</f>
        <v>1.6724999999999999</v>
      </c>
      <c r="P48" s="50">
        <f>0.75*2.67</f>
        <v>2.0025</v>
      </c>
      <c r="Q48" s="51">
        <f>0.75*3.14</f>
        <v>2.355</v>
      </c>
      <c r="R48" s="51">
        <v>3.66</v>
      </c>
      <c r="S48" s="52">
        <f>0.75*4.21</f>
        <v>3.1574999999999998</v>
      </c>
      <c r="T48" s="23"/>
    </row>
    <row r="49" spans="5:20" ht="15">
      <c r="E49" s="21"/>
      <c r="F49" s="34">
        <v>800</v>
      </c>
      <c r="G49" s="49"/>
      <c r="H49" s="51"/>
      <c r="I49" s="51"/>
      <c r="J49" s="51">
        <f>0.75*1.08</f>
        <v>0.81</v>
      </c>
      <c r="K49" s="51">
        <f>0.75*1.24</f>
        <v>0.9299999999999999</v>
      </c>
      <c r="L49" s="51">
        <f>0.75*1.4</f>
        <v>1.0499999999999998</v>
      </c>
      <c r="M49" s="51">
        <f>0.75*1.58</f>
        <v>1.185</v>
      </c>
      <c r="N49" s="51">
        <f>0.75*1.97</f>
        <v>1.4775</v>
      </c>
      <c r="O49" s="51">
        <f>0.75*2.39</f>
        <v>1.7925</v>
      </c>
      <c r="P49" s="51">
        <f>0.75*2.85</f>
        <v>2.1375</v>
      </c>
      <c r="Q49" s="50">
        <f>0.75*3.34</f>
        <v>2.505</v>
      </c>
      <c r="R49" s="51">
        <f>0.75*3.88</f>
        <v>2.91</v>
      </c>
      <c r="S49" s="52">
        <f>0.75*4.45</f>
        <v>3.3375000000000004</v>
      </c>
      <c r="T49" s="23"/>
    </row>
    <row r="50" spans="5:20" ht="15">
      <c r="E50" s="21"/>
      <c r="F50" s="34">
        <v>900</v>
      </c>
      <c r="G50" s="49"/>
      <c r="H50" s="51"/>
      <c r="I50" s="51"/>
      <c r="J50" s="51">
        <f>0.75*1.17</f>
        <v>0.8775</v>
      </c>
      <c r="K50" s="51">
        <f>0.75*1.34</f>
        <v>1.0050000000000001</v>
      </c>
      <c r="L50" s="51">
        <f>0.75*1.52</f>
        <v>1.1400000000000001</v>
      </c>
      <c r="M50" s="51">
        <f>0.75*1.71</f>
        <v>1.2825</v>
      </c>
      <c r="N50" s="51">
        <f>0.75*2.11</f>
        <v>1.5825</v>
      </c>
      <c r="O50" s="51">
        <f>0.75*2.55</f>
        <v>1.9124999999999999</v>
      </c>
      <c r="P50" s="51">
        <f>0.75*3.03</f>
        <v>2.2725</v>
      </c>
      <c r="Q50" s="51">
        <f>0.75*3.54</f>
        <v>2.6550000000000002</v>
      </c>
      <c r="R50" s="50">
        <f>0.75*4.1</f>
        <v>3.0749999999999997</v>
      </c>
      <c r="S50" s="52">
        <f>0.75*4.69</f>
        <v>3.5175</v>
      </c>
      <c r="T50" s="23"/>
    </row>
    <row r="51" spans="5:20" ht="15.75" thickBot="1">
      <c r="E51" s="26"/>
      <c r="F51" s="35">
        <v>1000</v>
      </c>
      <c r="G51" s="53"/>
      <c r="H51" s="54"/>
      <c r="I51" s="54"/>
      <c r="J51" s="54">
        <f>0.75*1.27</f>
        <v>0.9525</v>
      </c>
      <c r="K51" s="54">
        <f>0.75*1.44</f>
        <v>1.08</v>
      </c>
      <c r="L51" s="54">
        <f>0.75*1.63</f>
        <v>1.2225</v>
      </c>
      <c r="M51" s="54">
        <f>0.75*1.83</f>
        <v>1.3725</v>
      </c>
      <c r="N51" s="54">
        <f>0.75*2.25</f>
        <v>1.6875</v>
      </c>
      <c r="O51" s="54">
        <f>0.75*2.71</f>
        <v>2.0324999999999998</v>
      </c>
      <c r="P51" s="54">
        <f>0.75*3.21</f>
        <v>2.4074999999999998</v>
      </c>
      <c r="Q51" s="54">
        <f>0.75*3.74</f>
        <v>2.805</v>
      </c>
      <c r="R51" s="54">
        <f>0.75*4.31</f>
        <v>3.2325</v>
      </c>
      <c r="S51" s="55">
        <f>0.75*4.92</f>
        <v>3.69</v>
      </c>
      <c r="T51" s="23"/>
    </row>
    <row r="52" spans="5:20" ht="15.75" thickBot="1">
      <c r="E52" s="27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</row>
  </sheetData>
  <sheetProtection/>
  <mergeCells count="6">
    <mergeCell ref="I29:S34"/>
    <mergeCell ref="I36:S37"/>
    <mergeCell ref="A1:C2"/>
    <mergeCell ref="I2:S7"/>
    <mergeCell ref="I9:S10"/>
    <mergeCell ref="A26:C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2"/>
  <sheetViews>
    <sheetView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25.7109375" style="0" customWidth="1"/>
    <col min="2" max="2" width="32.140625" style="0" customWidth="1"/>
    <col min="3" max="3" width="32.7109375" style="0" customWidth="1"/>
    <col min="9" max="9" width="10.00390625" style="0" customWidth="1"/>
    <col min="10" max="10" width="8.57421875" style="0" customWidth="1"/>
    <col min="12" max="12" width="10.421875" style="0" customWidth="1"/>
  </cols>
  <sheetData>
    <row r="1" spans="1:20" ht="23.25" customHeight="1">
      <c r="A1" s="185" t="s">
        <v>13</v>
      </c>
      <c r="B1" s="185"/>
      <c r="C1" s="185"/>
      <c r="E1" s="133"/>
      <c r="F1" s="134"/>
      <c r="G1" s="134"/>
      <c r="H1" s="134"/>
      <c r="I1" s="135"/>
      <c r="J1" s="135"/>
      <c r="K1" s="136"/>
      <c r="L1" s="136"/>
      <c r="M1" s="136"/>
      <c r="N1" s="136"/>
      <c r="O1" s="136"/>
      <c r="P1" s="136"/>
      <c r="Q1" s="136"/>
      <c r="R1" s="136"/>
      <c r="S1" s="136"/>
      <c r="T1" s="137"/>
    </row>
    <row r="2" spans="1:20" ht="23.25" customHeight="1">
      <c r="A2" s="185"/>
      <c r="B2" s="185"/>
      <c r="C2" s="185"/>
      <c r="E2" s="138"/>
      <c r="F2" s="22"/>
      <c r="G2" s="22"/>
      <c r="H2" s="22"/>
      <c r="I2" s="181" t="s">
        <v>18</v>
      </c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39"/>
    </row>
    <row r="3" spans="1:20" ht="29.25" customHeight="1" thickBot="1">
      <c r="A3" s="4" t="s">
        <v>0</v>
      </c>
      <c r="B3" s="5" t="s">
        <v>1</v>
      </c>
      <c r="C3" s="2" t="s">
        <v>5</v>
      </c>
      <c r="D3" s="110">
        <v>1.83</v>
      </c>
      <c r="E3" s="138"/>
      <c r="F3" s="24"/>
      <c r="G3" s="24"/>
      <c r="H3" s="24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39"/>
    </row>
    <row r="4" spans="1:20" ht="15">
      <c r="A4" s="79" t="s">
        <v>10</v>
      </c>
      <c r="B4" s="80">
        <v>0.45</v>
      </c>
      <c r="C4" s="81">
        <v>660</v>
      </c>
      <c r="E4" s="138"/>
      <c r="F4" s="24"/>
      <c r="G4" s="24"/>
      <c r="H4" s="24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39"/>
    </row>
    <row r="5" spans="1:20" ht="38.25">
      <c r="A5" s="82" t="s">
        <v>11</v>
      </c>
      <c r="B5" s="83">
        <v>0.45</v>
      </c>
      <c r="C5" s="84">
        <v>860</v>
      </c>
      <c r="E5" s="138"/>
      <c r="F5" s="24"/>
      <c r="G5" s="24"/>
      <c r="H5" s="24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39"/>
    </row>
    <row r="6" spans="1:20" ht="15">
      <c r="A6" s="82" t="s">
        <v>2</v>
      </c>
      <c r="B6" s="85">
        <v>0.45</v>
      </c>
      <c r="C6" s="84">
        <f>1200</f>
        <v>1200</v>
      </c>
      <c r="E6" s="138"/>
      <c r="F6" s="24"/>
      <c r="G6" s="24"/>
      <c r="H6" s="24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39"/>
    </row>
    <row r="7" spans="1:20" ht="15.75" thickBot="1">
      <c r="A7" s="86" t="s">
        <v>3</v>
      </c>
      <c r="B7" s="87">
        <v>0.45</v>
      </c>
      <c r="C7" s="88">
        <v>1800</v>
      </c>
      <c r="E7" s="138"/>
      <c r="F7" s="24"/>
      <c r="G7" s="24"/>
      <c r="H7" s="24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39"/>
    </row>
    <row r="8" spans="1:20" ht="15">
      <c r="A8" s="111" t="s">
        <v>10</v>
      </c>
      <c r="B8" s="112">
        <v>0.5</v>
      </c>
      <c r="C8" s="113">
        <v>680</v>
      </c>
      <c r="E8" s="138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139"/>
    </row>
    <row r="9" spans="1:20" ht="38.25" customHeight="1">
      <c r="A9" s="114" t="s">
        <v>11</v>
      </c>
      <c r="B9" s="115">
        <v>0.5</v>
      </c>
      <c r="C9" s="116">
        <v>880</v>
      </c>
      <c r="E9" s="138"/>
      <c r="F9" s="25"/>
      <c r="G9" s="25"/>
      <c r="H9" s="25"/>
      <c r="I9" s="183" t="s">
        <v>19</v>
      </c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39"/>
    </row>
    <row r="10" spans="1:20" ht="15.75" thickBot="1">
      <c r="A10" s="114" t="s">
        <v>2</v>
      </c>
      <c r="B10" s="117">
        <v>0.5</v>
      </c>
      <c r="C10" s="116">
        <f>1250</f>
        <v>1250</v>
      </c>
      <c r="E10" s="138"/>
      <c r="F10" s="24"/>
      <c r="G10" s="24"/>
      <c r="H10" s="22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39"/>
    </row>
    <row r="11" spans="1:20" ht="15.75" thickBot="1">
      <c r="A11" s="118" t="s">
        <v>3</v>
      </c>
      <c r="B11" s="119">
        <v>0.5</v>
      </c>
      <c r="C11" s="120">
        <v>1850</v>
      </c>
      <c r="E11" s="140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39"/>
    </row>
    <row r="12" spans="1:20" ht="15.75" thickBot="1">
      <c r="A12" s="99" t="s">
        <v>10</v>
      </c>
      <c r="B12" s="121">
        <v>0.55</v>
      </c>
      <c r="C12" s="100">
        <v>700</v>
      </c>
      <c r="E12" s="140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39"/>
    </row>
    <row r="13" spans="1:20" ht="48.75" thickBot="1" thickTop="1">
      <c r="A13" s="101" t="s">
        <v>11</v>
      </c>
      <c r="B13" s="122">
        <v>0.55</v>
      </c>
      <c r="C13" s="103">
        <v>900</v>
      </c>
      <c r="E13" s="140"/>
      <c r="F13" s="24"/>
      <c r="G13" s="24"/>
      <c r="H13" s="24"/>
      <c r="I13" s="132" t="s">
        <v>14</v>
      </c>
      <c r="J13" s="132" t="s">
        <v>15</v>
      </c>
      <c r="K13" s="132" t="s">
        <v>16</v>
      </c>
      <c r="L13" s="132" t="s">
        <v>14</v>
      </c>
      <c r="M13" s="132" t="s">
        <v>15</v>
      </c>
      <c r="N13" s="132" t="s">
        <v>16</v>
      </c>
      <c r="O13" s="24"/>
      <c r="P13" s="24"/>
      <c r="Q13" s="24"/>
      <c r="R13" s="24"/>
      <c r="S13" s="24"/>
      <c r="T13" s="139"/>
    </row>
    <row r="14" spans="1:20" ht="16.5" thickTop="1">
      <c r="A14" s="101" t="s">
        <v>2</v>
      </c>
      <c r="B14" s="102">
        <v>0.55</v>
      </c>
      <c r="C14" s="103">
        <f>1280</f>
        <v>1280</v>
      </c>
      <c r="E14" s="140"/>
      <c r="F14" s="24"/>
      <c r="G14" s="24"/>
      <c r="H14" s="24"/>
      <c r="I14" s="144">
        <v>100</v>
      </c>
      <c r="J14" s="123">
        <v>50</v>
      </c>
      <c r="K14" s="124">
        <v>0.11</v>
      </c>
      <c r="L14" s="147">
        <v>400</v>
      </c>
      <c r="M14" s="123">
        <v>70</v>
      </c>
      <c r="N14" s="128">
        <v>1.19</v>
      </c>
      <c r="O14" s="24"/>
      <c r="P14" s="24"/>
      <c r="Q14" s="24"/>
      <c r="R14" s="24"/>
      <c r="S14" s="24"/>
      <c r="T14" s="139"/>
    </row>
    <row r="15" spans="1:20" ht="16.5" thickBot="1">
      <c r="A15" s="104" t="s">
        <v>3</v>
      </c>
      <c r="B15" s="105">
        <v>0.55</v>
      </c>
      <c r="C15" s="106">
        <v>1900</v>
      </c>
      <c r="E15" s="140"/>
      <c r="F15" s="24"/>
      <c r="G15" s="24"/>
      <c r="H15" s="24"/>
      <c r="I15" s="145">
        <v>125</v>
      </c>
      <c r="J15" s="30">
        <v>50</v>
      </c>
      <c r="K15" s="125">
        <v>0.15</v>
      </c>
      <c r="L15" s="148">
        <v>450</v>
      </c>
      <c r="M15" s="30">
        <v>70</v>
      </c>
      <c r="N15" s="129">
        <v>1.45</v>
      </c>
      <c r="O15" s="24"/>
      <c r="P15" s="24"/>
      <c r="Q15" s="24"/>
      <c r="R15" s="24"/>
      <c r="S15" s="24"/>
      <c r="T15" s="139"/>
    </row>
    <row r="16" spans="1:20" ht="15.75">
      <c r="A16" s="56" t="s">
        <v>10</v>
      </c>
      <c r="B16" s="64">
        <v>0.7</v>
      </c>
      <c r="C16" s="57">
        <v>870</v>
      </c>
      <c r="E16" s="140"/>
      <c r="F16" s="24"/>
      <c r="G16" s="24"/>
      <c r="H16" s="24"/>
      <c r="I16" s="145">
        <v>140</v>
      </c>
      <c r="J16" s="30">
        <v>50</v>
      </c>
      <c r="K16" s="125">
        <v>0.2</v>
      </c>
      <c r="L16" s="148">
        <v>500</v>
      </c>
      <c r="M16" s="30">
        <v>70</v>
      </c>
      <c r="N16" s="129">
        <v>1.74</v>
      </c>
      <c r="O16" s="24"/>
      <c r="P16" s="24"/>
      <c r="Q16" s="24"/>
      <c r="R16" s="24"/>
      <c r="S16" s="24"/>
      <c r="T16" s="139"/>
    </row>
    <row r="17" spans="1:20" ht="38.25">
      <c r="A17" s="58" t="s">
        <v>11</v>
      </c>
      <c r="B17" s="60">
        <v>0.7</v>
      </c>
      <c r="C17" s="59">
        <v>1020</v>
      </c>
      <c r="E17" s="140"/>
      <c r="F17" s="24"/>
      <c r="G17" s="24"/>
      <c r="H17" s="24"/>
      <c r="I17" s="145">
        <v>160</v>
      </c>
      <c r="J17" s="30">
        <v>50</v>
      </c>
      <c r="K17" s="125">
        <v>0.25</v>
      </c>
      <c r="L17" s="148">
        <v>560</v>
      </c>
      <c r="M17" s="30">
        <v>70</v>
      </c>
      <c r="N17" s="129">
        <v>2.12</v>
      </c>
      <c r="O17" s="24"/>
      <c r="P17" s="24"/>
      <c r="Q17" s="24"/>
      <c r="R17" s="24"/>
      <c r="S17" s="24"/>
      <c r="T17" s="139"/>
    </row>
    <row r="18" spans="1:20" ht="15.75">
      <c r="A18" s="58" t="s">
        <v>2</v>
      </c>
      <c r="B18" s="60">
        <v>0.7</v>
      </c>
      <c r="C18" s="59">
        <f>1320</f>
        <v>1320</v>
      </c>
      <c r="E18" s="140"/>
      <c r="F18" s="24"/>
      <c r="G18" s="24"/>
      <c r="H18" s="24"/>
      <c r="I18" s="145">
        <v>180</v>
      </c>
      <c r="J18" s="30">
        <v>60</v>
      </c>
      <c r="K18" s="125">
        <v>0.29</v>
      </c>
      <c r="L18" s="148">
        <v>630</v>
      </c>
      <c r="M18" s="30">
        <v>70</v>
      </c>
      <c r="N18" s="129">
        <v>2.69</v>
      </c>
      <c r="O18" s="24"/>
      <c r="P18" s="24"/>
      <c r="Q18" s="24"/>
      <c r="R18" s="24"/>
      <c r="S18" s="24"/>
      <c r="T18" s="139"/>
    </row>
    <row r="19" spans="1:20" ht="16.5" thickBot="1">
      <c r="A19" s="61" t="s">
        <v>3</v>
      </c>
      <c r="B19" s="62">
        <v>0.7</v>
      </c>
      <c r="C19" s="63">
        <v>2200</v>
      </c>
      <c r="E19" s="140"/>
      <c r="F19" s="24"/>
      <c r="G19" s="24"/>
      <c r="H19" s="24"/>
      <c r="I19" s="145">
        <v>200</v>
      </c>
      <c r="J19" s="30">
        <v>60</v>
      </c>
      <c r="K19" s="125">
        <v>0.35</v>
      </c>
      <c r="L19" s="148">
        <v>710</v>
      </c>
      <c r="M19" s="30">
        <v>70</v>
      </c>
      <c r="N19" s="129">
        <v>3.34</v>
      </c>
      <c r="O19" s="24"/>
      <c r="P19" s="24"/>
      <c r="Q19" s="24"/>
      <c r="R19" s="24"/>
      <c r="S19" s="24"/>
      <c r="T19" s="139"/>
    </row>
    <row r="20" spans="1:20" ht="15.75">
      <c r="A20" s="56" t="s">
        <v>10</v>
      </c>
      <c r="B20" s="65">
        <v>1</v>
      </c>
      <c r="C20" s="57">
        <v>1070</v>
      </c>
      <c r="E20" s="140"/>
      <c r="F20" s="24"/>
      <c r="G20" s="24"/>
      <c r="H20" s="24"/>
      <c r="I20" s="145">
        <v>225</v>
      </c>
      <c r="J20" s="30">
        <v>60</v>
      </c>
      <c r="K20" s="125">
        <v>0.44</v>
      </c>
      <c r="L20" s="148">
        <v>800</v>
      </c>
      <c r="M20" s="30">
        <v>70</v>
      </c>
      <c r="N20" s="129">
        <v>4.2</v>
      </c>
      <c r="O20" s="24"/>
      <c r="P20" s="24"/>
      <c r="Q20" s="24"/>
      <c r="R20" s="24"/>
      <c r="S20" s="24"/>
      <c r="T20" s="139"/>
    </row>
    <row r="21" spans="1:20" ht="38.25">
      <c r="A21" s="58" t="s">
        <v>11</v>
      </c>
      <c r="B21" s="66">
        <v>1</v>
      </c>
      <c r="C21" s="59">
        <v>1300</v>
      </c>
      <c r="E21" s="140"/>
      <c r="F21" s="24"/>
      <c r="G21" s="24"/>
      <c r="H21" s="24"/>
      <c r="I21" s="145">
        <v>250</v>
      </c>
      <c r="J21" s="30">
        <v>60</v>
      </c>
      <c r="K21" s="125">
        <v>0.51</v>
      </c>
      <c r="L21" s="148">
        <v>900</v>
      </c>
      <c r="M21" s="30">
        <v>100</v>
      </c>
      <c r="N21" s="129">
        <v>5.27</v>
      </c>
      <c r="O21" s="24"/>
      <c r="P21" s="24"/>
      <c r="Q21" s="24"/>
      <c r="R21" s="24"/>
      <c r="S21" s="24"/>
      <c r="T21" s="139"/>
    </row>
    <row r="22" spans="1:20" ht="15.75">
      <c r="A22" s="58" t="s">
        <v>2</v>
      </c>
      <c r="B22" s="66">
        <v>1</v>
      </c>
      <c r="C22" s="59">
        <v>1630</v>
      </c>
      <c r="E22" s="140"/>
      <c r="F22" s="24"/>
      <c r="G22" s="24"/>
      <c r="H22" s="24"/>
      <c r="I22" s="145">
        <v>280</v>
      </c>
      <c r="J22" s="30">
        <v>60</v>
      </c>
      <c r="K22" s="125">
        <v>0.64</v>
      </c>
      <c r="L22" s="148">
        <v>1000</v>
      </c>
      <c r="M22" s="30">
        <v>100</v>
      </c>
      <c r="N22" s="129">
        <v>6.46</v>
      </c>
      <c r="O22" s="24"/>
      <c r="P22" s="24"/>
      <c r="Q22" s="24"/>
      <c r="R22" s="24"/>
      <c r="S22" s="24"/>
      <c r="T22" s="139"/>
    </row>
    <row r="23" spans="1:20" ht="16.5" thickBot="1">
      <c r="A23" s="61" t="s">
        <v>3</v>
      </c>
      <c r="B23" s="67">
        <v>1</v>
      </c>
      <c r="C23" s="63">
        <v>2600</v>
      </c>
      <c r="E23" s="140"/>
      <c r="F23" s="24"/>
      <c r="G23" s="24"/>
      <c r="H23" s="24"/>
      <c r="I23" s="145">
        <v>315</v>
      </c>
      <c r="J23" s="30">
        <v>60</v>
      </c>
      <c r="K23" s="125">
        <v>0.78</v>
      </c>
      <c r="L23" s="148">
        <v>1120</v>
      </c>
      <c r="M23" s="30">
        <v>100</v>
      </c>
      <c r="N23" s="129">
        <v>8.05</v>
      </c>
      <c r="O23" s="24"/>
      <c r="P23" s="24"/>
      <c r="Q23" s="24"/>
      <c r="R23" s="24"/>
      <c r="S23" s="24"/>
      <c r="T23" s="139"/>
    </row>
    <row r="24" spans="5:20" ht="16.5" thickBot="1">
      <c r="E24" s="140"/>
      <c r="F24" s="24"/>
      <c r="G24" s="24"/>
      <c r="H24" s="24"/>
      <c r="I24" s="146">
        <v>355</v>
      </c>
      <c r="J24" s="126">
        <v>70</v>
      </c>
      <c r="K24" s="127">
        <v>0.97</v>
      </c>
      <c r="L24" s="149">
        <v>1250</v>
      </c>
      <c r="M24" s="130">
        <v>100</v>
      </c>
      <c r="N24" s="131">
        <v>9.97</v>
      </c>
      <c r="O24" s="24"/>
      <c r="P24" s="24"/>
      <c r="Q24" s="24"/>
      <c r="R24" s="24"/>
      <c r="S24" s="24"/>
      <c r="T24" s="139"/>
    </row>
    <row r="25" spans="5:20" ht="16.5" thickBot="1" thickTop="1">
      <c r="E25" s="141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3"/>
    </row>
    <row r="26" spans="1:3" ht="15">
      <c r="A26" s="186" t="s">
        <v>21</v>
      </c>
      <c r="B26" s="187"/>
      <c r="C26" s="187"/>
    </row>
    <row r="27" spans="1:3" ht="15.75" thickBot="1">
      <c r="A27" s="187"/>
      <c r="B27" s="187"/>
      <c r="C27" s="187"/>
    </row>
    <row r="28" spans="1:20" ht="15.75">
      <c r="A28" s="187"/>
      <c r="B28" s="187"/>
      <c r="C28" s="187"/>
      <c r="E28" s="133"/>
      <c r="F28" s="134"/>
      <c r="G28" s="134"/>
      <c r="H28" s="134"/>
      <c r="I28" s="135"/>
      <c r="J28" s="135"/>
      <c r="K28" s="136"/>
      <c r="L28" s="136"/>
      <c r="M28" s="136"/>
      <c r="N28" s="136"/>
      <c r="O28" s="136"/>
      <c r="P28" s="136"/>
      <c r="Q28" s="136"/>
      <c r="R28" s="136"/>
      <c r="S28" s="136"/>
      <c r="T28" s="137"/>
    </row>
    <row r="29" spans="1:20" ht="15">
      <c r="A29" s="187"/>
      <c r="B29" s="187"/>
      <c r="C29" s="187"/>
      <c r="E29" s="138"/>
      <c r="F29" s="22"/>
      <c r="G29" s="22"/>
      <c r="H29" s="22"/>
      <c r="I29" s="181" t="s">
        <v>17</v>
      </c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39"/>
    </row>
    <row r="30" spans="5:20" ht="15">
      <c r="E30" s="138"/>
      <c r="F30" s="24"/>
      <c r="G30" s="24"/>
      <c r="H30" s="24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39"/>
    </row>
    <row r="31" spans="5:20" ht="15">
      <c r="E31" s="138"/>
      <c r="G31" s="24"/>
      <c r="H31" s="24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39"/>
    </row>
    <row r="32" spans="5:20" ht="15">
      <c r="E32" s="138"/>
      <c r="F32" s="24"/>
      <c r="G32" s="24"/>
      <c r="H32" s="24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39"/>
    </row>
    <row r="33" spans="5:20" ht="15">
      <c r="E33" s="138"/>
      <c r="F33" s="24"/>
      <c r="G33" s="24"/>
      <c r="H33" s="24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39"/>
    </row>
    <row r="34" spans="5:20" ht="15">
      <c r="E34" s="138"/>
      <c r="F34" s="24"/>
      <c r="G34" s="24"/>
      <c r="H34" s="24"/>
      <c r="I34" s="182"/>
      <c r="J34" s="182"/>
      <c r="K34" s="182"/>
      <c r="L34" s="182"/>
      <c r="M34" s="182"/>
      <c r="N34" s="182"/>
      <c r="O34" s="182"/>
      <c r="P34" s="182"/>
      <c r="Q34" s="182"/>
      <c r="R34" s="182"/>
      <c r="S34" s="182"/>
      <c r="T34" s="139"/>
    </row>
    <row r="35" spans="5:20" ht="15">
      <c r="E35" s="138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139"/>
    </row>
    <row r="36" spans="5:20" ht="15">
      <c r="E36" s="138"/>
      <c r="F36" s="25"/>
      <c r="G36" s="25"/>
      <c r="H36" s="25"/>
      <c r="I36" s="183" t="s">
        <v>20</v>
      </c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39"/>
    </row>
    <row r="37" spans="5:20" ht="66.75" customHeight="1" thickBot="1">
      <c r="E37" s="138"/>
      <c r="F37" s="24"/>
      <c r="G37" s="24"/>
      <c r="H37" s="22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39"/>
    </row>
    <row r="38" spans="5:20" ht="15">
      <c r="E38" s="140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139"/>
    </row>
    <row r="39" spans="5:20" ht="15.75" thickBot="1">
      <c r="E39" s="140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139"/>
    </row>
    <row r="40" spans="5:20" ht="48.75" thickBot="1" thickTop="1">
      <c r="E40" s="140"/>
      <c r="F40" s="24"/>
      <c r="G40" s="24"/>
      <c r="H40" s="24"/>
      <c r="I40" s="132" t="s">
        <v>14</v>
      </c>
      <c r="J40" s="132" t="s">
        <v>15</v>
      </c>
      <c r="K40" s="132" t="s">
        <v>16</v>
      </c>
      <c r="L40" s="132" t="s">
        <v>14</v>
      </c>
      <c r="M40" s="132" t="s">
        <v>15</v>
      </c>
      <c r="N40" s="132" t="s">
        <v>16</v>
      </c>
      <c r="O40" s="24"/>
      <c r="P40" s="24"/>
      <c r="Q40" s="24"/>
      <c r="R40" s="24"/>
      <c r="S40" s="24"/>
      <c r="T40" s="139"/>
    </row>
    <row r="41" spans="5:20" ht="16.5" thickTop="1">
      <c r="E41" s="140"/>
      <c r="F41" s="24"/>
      <c r="G41" s="24"/>
      <c r="H41" s="24"/>
      <c r="I41" s="144">
        <v>100</v>
      </c>
      <c r="J41" s="123">
        <v>50</v>
      </c>
      <c r="K41" s="124">
        <v>0.11</v>
      </c>
      <c r="L41" s="147">
        <v>400</v>
      </c>
      <c r="M41" s="123">
        <v>70</v>
      </c>
      <c r="N41" s="128">
        <v>1.19</v>
      </c>
      <c r="O41" s="24"/>
      <c r="P41" s="24"/>
      <c r="Q41" s="24"/>
      <c r="R41" s="24"/>
      <c r="S41" s="24"/>
      <c r="T41" s="139"/>
    </row>
    <row r="42" spans="5:20" ht="15.75">
      <c r="E42" s="140"/>
      <c r="F42" s="24"/>
      <c r="G42" s="24"/>
      <c r="H42" s="24"/>
      <c r="I42" s="145">
        <v>125</v>
      </c>
      <c r="J42" s="30">
        <v>50</v>
      </c>
      <c r="K42" s="125">
        <v>0.15</v>
      </c>
      <c r="L42" s="148">
        <v>450</v>
      </c>
      <c r="M42" s="30">
        <v>70</v>
      </c>
      <c r="N42" s="129">
        <v>1.45</v>
      </c>
      <c r="O42" s="24"/>
      <c r="P42" s="24"/>
      <c r="Q42" s="24"/>
      <c r="R42" s="24"/>
      <c r="S42" s="24"/>
      <c r="T42" s="139"/>
    </row>
    <row r="43" spans="5:20" ht="15.75">
      <c r="E43" s="140"/>
      <c r="F43" s="24"/>
      <c r="G43" s="24"/>
      <c r="H43" s="24"/>
      <c r="I43" s="145">
        <v>140</v>
      </c>
      <c r="J43" s="30">
        <v>50</v>
      </c>
      <c r="K43" s="125">
        <v>0.2</v>
      </c>
      <c r="L43" s="148">
        <v>500</v>
      </c>
      <c r="M43" s="30">
        <v>70</v>
      </c>
      <c r="N43" s="129">
        <v>1.74</v>
      </c>
      <c r="O43" s="24"/>
      <c r="P43" s="24"/>
      <c r="Q43" s="24"/>
      <c r="R43" s="24"/>
      <c r="S43" s="24"/>
      <c r="T43" s="139"/>
    </row>
    <row r="44" spans="5:20" ht="15.75">
      <c r="E44" s="140"/>
      <c r="F44" s="24"/>
      <c r="G44" s="24"/>
      <c r="H44" s="24"/>
      <c r="I44" s="145">
        <v>160</v>
      </c>
      <c r="J44" s="30">
        <v>50</v>
      </c>
      <c r="K44" s="125">
        <v>0.25</v>
      </c>
      <c r="L44" s="148">
        <v>560</v>
      </c>
      <c r="M44" s="30">
        <v>70</v>
      </c>
      <c r="N44" s="129">
        <v>2.12</v>
      </c>
      <c r="O44" s="24"/>
      <c r="P44" s="24"/>
      <c r="Q44" s="24"/>
      <c r="R44" s="24"/>
      <c r="S44" s="24"/>
      <c r="T44" s="139"/>
    </row>
    <row r="45" spans="5:20" ht="15.75">
      <c r="E45" s="140"/>
      <c r="F45" s="24"/>
      <c r="G45" s="24"/>
      <c r="H45" s="24"/>
      <c r="I45" s="145">
        <v>180</v>
      </c>
      <c r="J45" s="30">
        <v>60</v>
      </c>
      <c r="K45" s="125">
        <v>0.29</v>
      </c>
      <c r="L45" s="148">
        <v>630</v>
      </c>
      <c r="M45" s="30">
        <v>70</v>
      </c>
      <c r="N45" s="129">
        <v>2.69</v>
      </c>
      <c r="O45" s="24"/>
      <c r="P45" s="24"/>
      <c r="Q45" s="24"/>
      <c r="R45" s="24"/>
      <c r="S45" s="24"/>
      <c r="T45" s="139"/>
    </row>
    <row r="46" spans="5:20" ht="15.75">
      <c r="E46" s="140"/>
      <c r="F46" s="24"/>
      <c r="G46" s="24"/>
      <c r="H46" s="24"/>
      <c r="I46" s="145">
        <v>200</v>
      </c>
      <c r="J46" s="30">
        <v>60</v>
      </c>
      <c r="K46" s="125">
        <v>0.35</v>
      </c>
      <c r="L46" s="148">
        <v>710</v>
      </c>
      <c r="M46" s="30">
        <v>70</v>
      </c>
      <c r="N46" s="129">
        <v>3.34</v>
      </c>
      <c r="O46" s="24"/>
      <c r="P46" s="24"/>
      <c r="Q46" s="24"/>
      <c r="R46" s="24"/>
      <c r="S46" s="24"/>
      <c r="T46" s="139"/>
    </row>
    <row r="47" spans="5:20" ht="15.75">
      <c r="E47" s="140"/>
      <c r="F47" s="24"/>
      <c r="G47" s="24"/>
      <c r="H47" s="24"/>
      <c r="I47" s="145">
        <v>225</v>
      </c>
      <c r="J47" s="30">
        <v>60</v>
      </c>
      <c r="K47" s="125">
        <v>0.44</v>
      </c>
      <c r="L47" s="148">
        <v>800</v>
      </c>
      <c r="M47" s="30">
        <v>70</v>
      </c>
      <c r="N47" s="129">
        <v>4.2</v>
      </c>
      <c r="O47" s="24"/>
      <c r="P47" s="24"/>
      <c r="Q47" s="24"/>
      <c r="R47" s="24"/>
      <c r="S47" s="24"/>
      <c r="T47" s="139"/>
    </row>
    <row r="48" spans="5:20" ht="15.75">
      <c r="E48" s="140"/>
      <c r="F48" s="24"/>
      <c r="G48" s="24"/>
      <c r="H48" s="24"/>
      <c r="I48" s="145">
        <v>250</v>
      </c>
      <c r="J48" s="30">
        <v>60</v>
      </c>
      <c r="K48" s="125">
        <v>0.51</v>
      </c>
      <c r="L48" s="148">
        <v>900</v>
      </c>
      <c r="M48" s="30">
        <v>100</v>
      </c>
      <c r="N48" s="129">
        <v>5.27</v>
      </c>
      <c r="O48" s="24"/>
      <c r="P48" s="24"/>
      <c r="Q48" s="24"/>
      <c r="R48" s="24"/>
      <c r="S48" s="24"/>
      <c r="T48" s="139"/>
    </row>
    <row r="49" spans="5:20" ht="15.75">
      <c r="E49" s="140"/>
      <c r="F49" s="24"/>
      <c r="G49" s="24"/>
      <c r="H49" s="24"/>
      <c r="I49" s="145">
        <v>280</v>
      </c>
      <c r="J49" s="30">
        <v>60</v>
      </c>
      <c r="K49" s="125">
        <v>0.64</v>
      </c>
      <c r="L49" s="148">
        <v>1000</v>
      </c>
      <c r="M49" s="30">
        <v>100</v>
      </c>
      <c r="N49" s="129">
        <v>6.46</v>
      </c>
      <c r="O49" s="24"/>
      <c r="P49" s="24"/>
      <c r="Q49" s="24"/>
      <c r="R49" s="24"/>
      <c r="S49" s="24"/>
      <c r="T49" s="139"/>
    </row>
    <row r="50" spans="5:20" ht="15.75">
      <c r="E50" s="140"/>
      <c r="F50" s="24"/>
      <c r="G50" s="24"/>
      <c r="H50" s="24"/>
      <c r="I50" s="145">
        <v>315</v>
      </c>
      <c r="J50" s="30">
        <v>60</v>
      </c>
      <c r="K50" s="125">
        <v>0.78</v>
      </c>
      <c r="L50" s="148">
        <v>1120</v>
      </c>
      <c r="M50" s="30">
        <v>100</v>
      </c>
      <c r="N50" s="129">
        <v>8.05</v>
      </c>
      <c r="O50" s="24"/>
      <c r="P50" s="24"/>
      <c r="Q50" s="24"/>
      <c r="R50" s="24"/>
      <c r="S50" s="24"/>
      <c r="T50" s="139"/>
    </row>
    <row r="51" spans="5:20" ht="16.5" thickBot="1">
      <c r="E51" s="140"/>
      <c r="F51" s="24"/>
      <c r="G51" s="24"/>
      <c r="H51" s="24"/>
      <c r="I51" s="146">
        <v>355</v>
      </c>
      <c r="J51" s="126">
        <v>70</v>
      </c>
      <c r="K51" s="127">
        <v>0.97</v>
      </c>
      <c r="L51" s="149">
        <v>1250</v>
      </c>
      <c r="M51" s="130">
        <v>100</v>
      </c>
      <c r="N51" s="131">
        <v>9.97</v>
      </c>
      <c r="O51" s="24"/>
      <c r="P51" s="24"/>
      <c r="Q51" s="24"/>
      <c r="R51" s="24"/>
      <c r="S51" s="24"/>
      <c r="T51" s="139"/>
    </row>
    <row r="52" spans="5:20" ht="16.5" thickBot="1" thickTop="1"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3"/>
    </row>
  </sheetData>
  <sheetProtection/>
  <mergeCells count="6">
    <mergeCell ref="I36:S37"/>
    <mergeCell ref="A1:C2"/>
    <mergeCell ref="I2:S7"/>
    <mergeCell ref="I9:S10"/>
    <mergeCell ref="I29:S34"/>
    <mergeCell ref="A26:C29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"/>
  <sheetViews>
    <sheetView zoomScale="70" zoomScaleNormal="70" zoomScalePageLayoutView="0" workbookViewId="0" topLeftCell="A10">
      <selection activeCell="H15" sqref="H15"/>
    </sheetView>
  </sheetViews>
  <sheetFormatPr defaultColWidth="9.140625" defaultRowHeight="15"/>
  <cols>
    <col min="1" max="1" width="40.00390625" style="0" customWidth="1"/>
    <col min="2" max="2" width="20.28125" style="0" customWidth="1"/>
    <col min="3" max="3" width="21.7109375" style="0" customWidth="1"/>
    <col min="4" max="4" width="23.7109375" style="0" customWidth="1"/>
    <col min="5" max="5" width="37.140625" style="0" customWidth="1"/>
    <col min="8" max="8" width="43.00390625" style="0" customWidth="1"/>
    <col min="9" max="9" width="46.421875" style="0" customWidth="1"/>
  </cols>
  <sheetData>
    <row r="2" spans="1:10" ht="103.5">
      <c r="A2" s="163" t="s">
        <v>0</v>
      </c>
      <c r="B2" s="163" t="s">
        <v>45</v>
      </c>
      <c r="C2" s="163" t="s">
        <v>30</v>
      </c>
      <c r="D2" s="163" t="s">
        <v>31</v>
      </c>
      <c r="E2" s="163" t="s">
        <v>23</v>
      </c>
      <c r="H2" s="188" t="s">
        <v>48</v>
      </c>
      <c r="I2" s="189"/>
      <c r="J2" s="154"/>
    </row>
    <row r="3" spans="1:10" ht="108.75" customHeight="1">
      <c r="A3" s="162" t="s">
        <v>32</v>
      </c>
      <c r="B3" s="153" t="s">
        <v>33</v>
      </c>
      <c r="C3" s="153" t="s">
        <v>46</v>
      </c>
      <c r="D3" s="153" t="s">
        <v>62</v>
      </c>
      <c r="H3" s="155" t="s">
        <v>49</v>
      </c>
      <c r="I3" s="24"/>
      <c r="J3" s="156"/>
    </row>
    <row r="4" spans="1:10" ht="121.5" customHeight="1">
      <c r="A4" s="162" t="s">
        <v>35</v>
      </c>
      <c r="B4" s="153" t="s">
        <v>36</v>
      </c>
      <c r="C4" s="153" t="s">
        <v>62</v>
      </c>
      <c r="D4" s="153" t="s">
        <v>62</v>
      </c>
      <c r="H4" s="157" t="s">
        <v>50</v>
      </c>
      <c r="I4" s="158" t="s">
        <v>51</v>
      </c>
      <c r="J4" s="156"/>
    </row>
    <row r="5" spans="1:10" ht="131.25" customHeight="1">
      <c r="A5" s="162" t="s">
        <v>37</v>
      </c>
      <c r="B5" s="153" t="s">
        <v>36</v>
      </c>
      <c r="C5" s="153" t="s">
        <v>62</v>
      </c>
      <c r="D5" s="153" t="s">
        <v>63</v>
      </c>
      <c r="H5" s="157" t="s">
        <v>52</v>
      </c>
      <c r="I5" s="158" t="s">
        <v>53</v>
      </c>
      <c r="J5" s="156"/>
    </row>
    <row r="6" spans="1:10" ht="125.25" customHeight="1">
      <c r="A6" s="162" t="s">
        <v>38</v>
      </c>
      <c r="B6" s="153" t="s">
        <v>36</v>
      </c>
      <c r="C6" s="153" t="s">
        <v>64</v>
      </c>
      <c r="D6" s="153" t="s">
        <v>65</v>
      </c>
      <c r="H6" s="157" t="s">
        <v>54</v>
      </c>
      <c r="I6" s="158" t="s">
        <v>55</v>
      </c>
      <c r="J6" s="156"/>
    </row>
    <row r="7" spans="1:10" ht="138.75" customHeight="1">
      <c r="A7" s="162" t="s">
        <v>39</v>
      </c>
      <c r="B7" s="153" t="s">
        <v>36</v>
      </c>
      <c r="C7" s="153" t="s">
        <v>46</v>
      </c>
      <c r="D7" s="153" t="s">
        <v>63</v>
      </c>
      <c r="H7" s="157" t="s">
        <v>56</v>
      </c>
      <c r="I7" s="158" t="s">
        <v>55</v>
      </c>
      <c r="J7" s="156"/>
    </row>
    <row r="8" spans="1:10" ht="120.75" customHeight="1">
      <c r="A8" s="162" t="s">
        <v>41</v>
      </c>
      <c r="B8" s="153" t="s">
        <v>36</v>
      </c>
      <c r="C8" s="153" t="s">
        <v>40</v>
      </c>
      <c r="D8" s="153" t="s">
        <v>34</v>
      </c>
      <c r="H8" s="157" t="s">
        <v>57</v>
      </c>
      <c r="I8" s="158" t="s">
        <v>58</v>
      </c>
      <c r="J8" s="156"/>
    </row>
    <row r="9" spans="1:10" ht="191.25" customHeight="1">
      <c r="A9" s="162" t="s">
        <v>42</v>
      </c>
      <c r="B9" s="153" t="s">
        <v>36</v>
      </c>
      <c r="C9" s="153" t="s">
        <v>46</v>
      </c>
      <c r="D9" s="153" t="s">
        <v>47</v>
      </c>
      <c r="H9" s="159" t="s">
        <v>59</v>
      </c>
      <c r="I9" s="160" t="s">
        <v>60</v>
      </c>
      <c r="J9" s="161"/>
    </row>
    <row r="10" spans="1:4" ht="133.5" customHeight="1">
      <c r="A10" s="162" t="s">
        <v>43</v>
      </c>
      <c r="B10" s="153" t="s">
        <v>36</v>
      </c>
      <c r="C10" s="153" t="s">
        <v>34</v>
      </c>
      <c r="D10" s="153" t="s">
        <v>62</v>
      </c>
    </row>
    <row r="11" spans="1:4" ht="127.5" customHeight="1">
      <c r="A11" s="162" t="s">
        <v>44</v>
      </c>
      <c r="B11" s="153" t="s">
        <v>36</v>
      </c>
      <c r="C11" s="153" t="s">
        <v>66</v>
      </c>
      <c r="D11" s="153" t="s">
        <v>67</v>
      </c>
    </row>
    <row r="13" spans="1:7" ht="15">
      <c r="A13" s="190" t="s">
        <v>61</v>
      </c>
      <c r="B13" s="191"/>
      <c r="C13" s="191"/>
      <c r="D13" s="191"/>
      <c r="E13" s="191"/>
      <c r="F13" s="191"/>
      <c r="G13" s="191"/>
    </row>
    <row r="14" spans="1:7" ht="15">
      <c r="A14" s="191"/>
      <c r="B14" s="191"/>
      <c r="C14" s="191"/>
      <c r="D14" s="191"/>
      <c r="E14" s="191"/>
      <c r="F14" s="191"/>
      <c r="G14" s="191"/>
    </row>
    <row r="15" spans="1:7" ht="15">
      <c r="A15" s="191"/>
      <c r="B15" s="191"/>
      <c r="C15" s="191"/>
      <c r="D15" s="191"/>
      <c r="E15" s="191"/>
      <c r="F15" s="191"/>
      <c r="G15" s="191"/>
    </row>
    <row r="16" spans="1:7" ht="15">
      <c r="A16" s="191"/>
      <c r="B16" s="191"/>
      <c r="C16" s="191"/>
      <c r="D16" s="191"/>
      <c r="E16" s="191"/>
      <c r="F16" s="191"/>
      <c r="G16" s="191"/>
    </row>
    <row r="17" spans="1:7" ht="15">
      <c r="A17" s="191"/>
      <c r="B17" s="191"/>
      <c r="C17" s="191"/>
      <c r="D17" s="191"/>
      <c r="E17" s="191"/>
      <c r="F17" s="191"/>
      <c r="G17" s="191"/>
    </row>
    <row r="18" spans="1:7" ht="99.75" customHeight="1">
      <c r="A18" s="191"/>
      <c r="B18" s="191"/>
      <c r="C18" s="191"/>
      <c r="D18" s="191"/>
      <c r="E18" s="191"/>
      <c r="F18" s="191"/>
      <c r="G18" s="191"/>
    </row>
  </sheetData>
  <sheetProtection/>
  <mergeCells count="2">
    <mergeCell ref="H2:I2"/>
    <mergeCell ref="A13:G1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B31"/>
  <sheetViews>
    <sheetView zoomScalePageLayoutView="0" workbookViewId="0" topLeftCell="A22">
      <selection activeCell="F29" sqref="F29"/>
    </sheetView>
  </sheetViews>
  <sheetFormatPr defaultColWidth="9.140625" defaultRowHeight="15"/>
  <cols>
    <col min="1" max="1" width="23.57421875" style="0" customWidth="1"/>
    <col min="2" max="2" width="64.7109375" style="0" customWidth="1"/>
  </cols>
  <sheetData>
    <row r="1" spans="1:2" ht="63.75" thickBot="1">
      <c r="A1" s="151" t="s">
        <v>22</v>
      </c>
      <c r="B1" s="152" t="s">
        <v>23</v>
      </c>
    </row>
    <row r="2" spans="1:2" ht="15">
      <c r="A2" s="192" t="s">
        <v>24</v>
      </c>
      <c r="B2" s="195"/>
    </row>
    <row r="3" spans="1:2" ht="15" customHeight="1">
      <c r="A3" s="193"/>
      <c r="B3" s="196"/>
    </row>
    <row r="4" spans="1:2" ht="15" customHeight="1">
      <c r="A4" s="193"/>
      <c r="B4" s="196"/>
    </row>
    <row r="5" spans="1:2" ht="15" customHeight="1">
      <c r="A5" s="193"/>
      <c r="B5" s="196"/>
    </row>
    <row r="6" spans="1:2" ht="54.75" customHeight="1" thickBot="1">
      <c r="A6" s="194"/>
      <c r="B6" s="197"/>
    </row>
    <row r="7" spans="1:2" ht="15.75" customHeight="1">
      <c r="A7" s="192" t="s">
        <v>25</v>
      </c>
      <c r="B7" s="195"/>
    </row>
    <row r="8" spans="1:2" ht="15" customHeight="1">
      <c r="A8" s="193"/>
      <c r="B8" s="196"/>
    </row>
    <row r="9" spans="1:2" ht="15" customHeight="1">
      <c r="A9" s="193"/>
      <c r="B9" s="196"/>
    </row>
    <row r="10" spans="1:2" ht="15" customHeight="1">
      <c r="A10" s="193"/>
      <c r="B10" s="196"/>
    </row>
    <row r="11" spans="1:2" ht="45.75" customHeight="1" thickBot="1">
      <c r="A11" s="194"/>
      <c r="B11" s="197"/>
    </row>
    <row r="12" spans="1:2" ht="27.75" customHeight="1">
      <c r="A12" s="192" t="s">
        <v>26</v>
      </c>
      <c r="B12" s="195"/>
    </row>
    <row r="13" spans="1:2" ht="15" customHeight="1">
      <c r="A13" s="193"/>
      <c r="B13" s="196"/>
    </row>
    <row r="14" spans="1:2" ht="15" customHeight="1">
      <c r="A14" s="193"/>
      <c r="B14" s="196"/>
    </row>
    <row r="15" spans="1:2" ht="15" customHeight="1">
      <c r="A15" s="193"/>
      <c r="B15" s="196"/>
    </row>
    <row r="16" spans="1:2" ht="34.5" customHeight="1" thickBot="1">
      <c r="A16" s="194"/>
      <c r="B16" s="197"/>
    </row>
    <row r="17" spans="1:2" ht="30.75" customHeight="1">
      <c r="A17" s="192" t="s">
        <v>27</v>
      </c>
      <c r="B17" s="195"/>
    </row>
    <row r="18" spans="1:2" ht="15" customHeight="1">
      <c r="A18" s="193"/>
      <c r="B18" s="196"/>
    </row>
    <row r="19" spans="1:2" ht="15" customHeight="1">
      <c r="A19" s="193"/>
      <c r="B19" s="196"/>
    </row>
    <row r="20" spans="1:2" ht="15" customHeight="1">
      <c r="A20" s="193"/>
      <c r="B20" s="196"/>
    </row>
    <row r="21" spans="1:2" ht="44.25" customHeight="1" thickBot="1">
      <c r="A21" s="194"/>
      <c r="B21" s="197"/>
    </row>
    <row r="22" spans="1:2" ht="29.25" customHeight="1">
      <c r="A22" s="192" t="s">
        <v>28</v>
      </c>
      <c r="B22" s="195"/>
    </row>
    <row r="23" spans="1:2" ht="15" customHeight="1">
      <c r="A23" s="193"/>
      <c r="B23" s="196"/>
    </row>
    <row r="24" spans="1:2" ht="15" customHeight="1">
      <c r="A24" s="193"/>
      <c r="B24" s="196"/>
    </row>
    <row r="25" spans="1:2" ht="15" customHeight="1">
      <c r="A25" s="193"/>
      <c r="B25" s="196"/>
    </row>
    <row r="26" spans="1:2" ht="37.5" customHeight="1" thickBot="1">
      <c r="A26" s="194"/>
      <c r="B26" s="197"/>
    </row>
    <row r="27" spans="1:2" ht="15">
      <c r="A27" s="192" t="s">
        <v>29</v>
      </c>
      <c r="B27" s="195"/>
    </row>
    <row r="28" spans="1:2" ht="15" customHeight="1">
      <c r="A28" s="193"/>
      <c r="B28" s="196"/>
    </row>
    <row r="29" spans="1:2" ht="15" customHeight="1">
      <c r="A29" s="193"/>
      <c r="B29" s="196"/>
    </row>
    <row r="30" spans="1:2" ht="15" customHeight="1">
      <c r="A30" s="193"/>
      <c r="B30" s="196"/>
    </row>
    <row r="31" spans="1:2" ht="64.5" customHeight="1" thickBot="1">
      <c r="A31" s="194"/>
      <c r="B31" s="197"/>
    </row>
    <row r="32" ht="15.75" customHeight="1"/>
  </sheetData>
  <sheetProtection/>
  <mergeCells count="12">
    <mergeCell ref="A7:A11"/>
    <mergeCell ref="B7:B11"/>
    <mergeCell ref="A12:A16"/>
    <mergeCell ref="B12:B16"/>
    <mergeCell ref="A2:A6"/>
    <mergeCell ref="B2:B6"/>
    <mergeCell ref="A27:A31"/>
    <mergeCell ref="B27:B31"/>
    <mergeCell ref="A17:A21"/>
    <mergeCell ref="B17:B21"/>
    <mergeCell ref="A22:A26"/>
    <mergeCell ref="B22:B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</cp:lastModifiedBy>
  <dcterms:created xsi:type="dcterms:W3CDTF">2016-12-04T10:39:52Z</dcterms:created>
  <dcterms:modified xsi:type="dcterms:W3CDTF">2016-12-20T07:39:43Z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